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chartsheets/sheet1.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885" firstSheet="3" activeTab="3"/>
  </bookViews>
  <sheets>
    <sheet name="Recovered_Sheet1" sheetId="1" state="veryHidden" r:id="rId1"/>
    <sheet name="Recovered_Sheet2" sheetId="2" state="veryHidden" r:id="rId2"/>
    <sheet name="Recovered_Sheet3" sheetId="3" state="veryHidden" r:id="rId3"/>
    <sheet name="summary for Web" sheetId="4" r:id="rId4"/>
    <sheet name="Total Distribution" sheetId="5" r:id="rId5"/>
    <sheet name="General Fund" sheetId="6" r:id="rId6"/>
    <sheet name=".375%" sheetId="7" r:id="rId7"/>
    <sheet name=".225% Dist." sheetId="8" r:id="rId8"/>
    <sheet name=".25% Dist" sheetId="9" r:id="rId9"/>
    <sheet name="Local &amp; State" sheetId="10" r:id="rId10"/>
    <sheet name=".0625% Dist" sheetId="11" r:id="rId11"/>
    <sheet name="Graph Data" sheetId="12" r:id="rId12"/>
    <sheet name="1% Cumulative" sheetId="13" r:id="rId13"/>
    <sheet name="Graph" sheetId="14" r:id="rId14"/>
    <sheet name="Memo to Director" sheetId="15" r:id="rId15"/>
    <sheet name="Tres. Trans" sheetId="16" r:id="rId16"/>
    <sheet name="Monthly receipts from State" sheetId="17" r:id="rId17"/>
    <sheet name="Admin Chrgs" sheetId="18" r:id="rId18"/>
  </sheets>
  <definedNames>
    <definedName name="\C">'Monthly receipts from State'!$O$1:$P$17</definedName>
    <definedName name="FLOTCOST">'Monthly receipts from State'!$L$120:$T$175</definedName>
    <definedName name="MACRO1">'Monthly receipts from State'!$O$43:$Q$43</definedName>
    <definedName name="MEMO">'Monthly receipts from State'!$A$308:$H$363</definedName>
    <definedName name="_xlnm.Print_Area" localSheetId="3">'summary for Web'!$E$2:$AF$83</definedName>
    <definedName name="_xlnm.Print_Area" localSheetId="15">'Tres. Trans'!$A$3:$I$64</definedName>
    <definedName name="REPORTABC">'Monthly receipts from State'!$A$44:$I$120</definedName>
    <definedName name="REPORTDEF">'Monthly receipts from State'!$A$121:$I$190</definedName>
    <definedName name="REPORTGHI">'Monthly receipts from State'!$A$194:$I$306</definedName>
    <definedName name="TRANSMITTAL">'Monthly receipts from State'!$A$368:$H$426</definedName>
    <definedName name="WORKSHEET">'Monthly receipts from State'!$A$8:$M$42</definedName>
    <definedName name="wrn.draft." localSheetId="5" hidden="1">{#N/A,#N/A,FALSE,"Total Distribution";#N/A,#N/A,FALSE,".225% Dist.";#N/A,#N/A,FALSE,".25% Dist";#N/A,#N/A,FALSE,".0625% Dist";#N/A,#N/A,FALSE,"Local &amp; State";#N/A,#N/A,FALSE,"1% Cumulative";#N/A,#N/A,FALSE,"Memo to Director";#N/A,#N/A,FALSE,"Tres. Trans";#N/A,#N/A,FALSE,"Monthly receipts from State"}</definedName>
    <definedName name="wrn.draft." localSheetId="3" hidden="1">{#N/A,#N/A,FALSE,"Total Distribution";#N/A,#N/A,FALSE,".225% Dist.";#N/A,#N/A,FALSE,".25% Dist";#N/A,#N/A,FALSE,".0625% Dist";#N/A,#N/A,FALSE,"Local &amp; State";#N/A,#N/A,FALSE,"1% Cumulative";#N/A,#N/A,FALSE,"Memo to Director";#N/A,#N/A,FALSE,"Tres. Trans";#N/A,#N/A,FALSE,"Monthly receipts from State"}</definedName>
    <definedName name="wrn.draft." hidden="1">{#N/A,#N/A,FALSE,"Total Distribution";#N/A,#N/A,FALSE,".225% Dist.";#N/A,#N/A,FALSE,".25% Dist";#N/A,#N/A,FALSE,".0625% Dist";#N/A,#N/A,FALSE,"Local &amp; State";#N/A,#N/A,FALSE,"1% Cumulative";#N/A,#N/A,FALSE,"Memo to Director";#N/A,#N/A,FALSE,"Tres. Trans";#N/A,#N/A,FALSE,"Monthly receipts from State"}</definedName>
    <definedName name="zzz.draft" hidden="1">{#N/A,#N/A,FALSE,"Total Distribution";#N/A,#N/A,FALSE,".225% Dist.";#N/A,#N/A,FALSE,".25% Dist";#N/A,#N/A,FALSE,".0625% Dist";#N/A,#N/A,FALSE,"Local &amp; State";#N/A,#N/A,FALSE,"1% Cumulative";#N/A,#N/A,FALSE,"Memo to Director";#N/A,#N/A,FALSE,"Tres. Trans";#N/A,#N/A,FALSE,"Monthly receipts from State"}</definedName>
  </definedNames>
  <calcPr fullCalcOnLoad="1"/>
</workbook>
</file>

<file path=xl/comments10.xml><?xml version="1.0" encoding="utf-8"?>
<comments xmlns="http://schemas.openxmlformats.org/spreadsheetml/2006/main">
  <authors>
    <author>A satisfied Microsoft Office user</author>
  </authors>
  <commentList>
    <comment ref="G43" authorId="0">
      <text>
        <r>
          <rPr>
            <b/>
            <sz val="8"/>
            <rFont val="Tahoma"/>
            <family val="2"/>
          </rPr>
          <t xml:space="preserve">add F11 to formula in cell i23
</t>
        </r>
      </text>
    </comment>
    <comment ref="I43" authorId="0">
      <text>
        <r>
          <rPr>
            <b/>
            <sz val="8"/>
            <rFont val="Tahoma"/>
            <family val="2"/>
          </rPr>
          <t xml:space="preserve">add F11 to formula in cell i23
</t>
        </r>
      </text>
    </comment>
    <comment ref="G22" authorId="0">
      <text>
        <r>
          <rPr>
            <b/>
            <sz val="8"/>
            <rFont val="Tahoma"/>
            <family val="2"/>
          </rPr>
          <t xml:space="preserve">add F11 to formula in cell i23
</t>
        </r>
      </text>
    </comment>
    <comment ref="I22" authorId="0">
      <text>
        <r>
          <rPr>
            <b/>
            <sz val="8"/>
            <rFont val="Tahoma"/>
            <family val="2"/>
          </rPr>
          <t xml:space="preserve">add F11 to formula in cell i23
</t>
        </r>
      </text>
    </comment>
  </commentList>
</comments>
</file>

<file path=xl/comments11.xml><?xml version="1.0" encoding="utf-8"?>
<comments xmlns="http://schemas.openxmlformats.org/spreadsheetml/2006/main">
  <authors>
    <author>A satisfied Microsoft Office user</author>
  </authors>
  <commentList>
    <comment ref="G21" authorId="0">
      <text>
        <r>
          <rPr>
            <b/>
            <sz val="8"/>
            <rFont val="Tahoma"/>
            <family val="2"/>
          </rPr>
          <t xml:space="preserve">add F11 to formula in cell i23
</t>
        </r>
      </text>
    </comment>
    <comment ref="I21" authorId="0">
      <text>
        <r>
          <rPr>
            <b/>
            <sz val="8"/>
            <rFont val="Tahoma"/>
            <family val="2"/>
          </rPr>
          <t xml:space="preserve">add F11 to formula in cell i23
</t>
        </r>
      </text>
    </comment>
    <comment ref="G50" authorId="0">
      <text>
        <r>
          <rPr>
            <b/>
            <sz val="8"/>
            <rFont val="Tahoma"/>
            <family val="2"/>
          </rPr>
          <t xml:space="preserve">add F11 to formula in cell i23
</t>
        </r>
      </text>
    </comment>
    <comment ref="I50" authorId="0">
      <text>
        <r>
          <rPr>
            <b/>
            <sz val="8"/>
            <rFont val="Tahoma"/>
            <family val="2"/>
          </rPr>
          <t xml:space="preserve">add F11 to formula in cell i23
</t>
        </r>
      </text>
    </comment>
  </commentList>
</comments>
</file>

<file path=xl/comments13.xml><?xml version="1.0" encoding="utf-8"?>
<comments xmlns="http://schemas.openxmlformats.org/spreadsheetml/2006/main">
  <authors>
    <author>A satisfied Microsoft Office user</author>
  </authors>
  <commentList>
    <comment ref="J9" authorId="0">
      <text>
        <r>
          <rPr>
            <b/>
            <sz val="8"/>
            <rFont val="Tahoma"/>
            <family val="2"/>
          </rPr>
          <t>Add H7 to formula in cell h8</t>
        </r>
      </text>
    </comment>
  </commentList>
</comments>
</file>

<file path=xl/comments5.xml><?xml version="1.0" encoding="utf-8"?>
<comments xmlns="http://schemas.openxmlformats.org/spreadsheetml/2006/main">
  <authors>
    <author>A satisfied Microsoft Office user</author>
  </authors>
  <commentList>
    <comment ref="J46" authorId="0">
      <text>
        <r>
          <rPr>
            <b/>
            <sz val="8"/>
            <rFont val="Tahoma"/>
            <family val="2"/>
          </rPr>
          <t>add F34 to formula in cell i47</t>
        </r>
      </text>
    </comment>
    <comment ref="I23" authorId="0">
      <text>
        <r>
          <rPr>
            <b/>
            <sz val="8"/>
            <rFont val="Tahoma"/>
            <family val="2"/>
          </rPr>
          <t xml:space="preserve">add F11 to formula in cell i23
</t>
        </r>
      </text>
    </comment>
    <comment ref="G23" authorId="0">
      <text>
        <r>
          <rPr>
            <b/>
            <sz val="8"/>
            <rFont val="Tahoma"/>
            <family val="2"/>
          </rPr>
          <t xml:space="preserve">add F11 to formula in cell i23
</t>
        </r>
      </text>
    </comment>
  </commentList>
</comments>
</file>

<file path=xl/comments6.xml><?xml version="1.0" encoding="utf-8"?>
<comments xmlns="http://schemas.openxmlformats.org/spreadsheetml/2006/main">
  <authors>
    <author>A satisfied Microsoft Office user</author>
  </authors>
  <commentList>
    <comment ref="I23" authorId="0">
      <text>
        <r>
          <rPr>
            <b/>
            <sz val="8"/>
            <rFont val="Tahoma"/>
            <family val="2"/>
          </rPr>
          <t xml:space="preserve">add F11 to formula in cell i23
</t>
        </r>
      </text>
    </comment>
    <comment ref="I50" authorId="0">
      <text>
        <r>
          <rPr>
            <b/>
            <sz val="8"/>
            <rFont val="Tahoma"/>
            <family val="2"/>
          </rPr>
          <t xml:space="preserve">add F11 to formula in cell i23
</t>
        </r>
      </text>
    </comment>
    <comment ref="G23" authorId="0">
      <text>
        <r>
          <rPr>
            <b/>
            <sz val="8"/>
            <rFont val="Tahoma"/>
            <family val="2"/>
          </rPr>
          <t xml:space="preserve">add F11 to formula in cell i23
</t>
        </r>
      </text>
    </comment>
    <comment ref="G50" authorId="0">
      <text>
        <r>
          <rPr>
            <b/>
            <sz val="8"/>
            <rFont val="Tahoma"/>
            <family val="2"/>
          </rPr>
          <t xml:space="preserve">add F11 to formula in cell i23
</t>
        </r>
      </text>
    </comment>
  </commentList>
</comments>
</file>

<file path=xl/comments7.xml><?xml version="1.0" encoding="utf-8"?>
<comments xmlns="http://schemas.openxmlformats.org/spreadsheetml/2006/main">
  <authors>
    <author>A satisfied Microsoft Office user</author>
  </authors>
  <commentList>
    <comment ref="G20"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 ref="G46"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List>
</comments>
</file>

<file path=xl/comments8.xml><?xml version="1.0" encoding="utf-8"?>
<comments xmlns="http://schemas.openxmlformats.org/spreadsheetml/2006/main">
  <authors>
    <author>A satisfied Microsoft Office user</author>
  </authors>
  <commentList>
    <comment ref="G20"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 ref="G46"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List>
</comments>
</file>

<file path=xl/comments9.xml><?xml version="1.0" encoding="utf-8"?>
<comments xmlns="http://schemas.openxmlformats.org/spreadsheetml/2006/main">
  <authors>
    <author>A satisfied Microsoft Office user</author>
  </authors>
  <commentList>
    <comment ref="G46" authorId="0">
      <text>
        <r>
          <rPr>
            <b/>
            <sz val="8"/>
            <rFont val="Tahoma"/>
            <family val="2"/>
          </rPr>
          <t xml:space="preserve">add F11 to formula in cell i23
</t>
        </r>
      </text>
    </comment>
    <comment ref="G73" authorId="0">
      <text>
        <r>
          <rPr>
            <b/>
            <sz val="8"/>
            <rFont val="Tahoma"/>
            <family val="2"/>
          </rPr>
          <t xml:space="preserve">add F11 to formula in cell i23
</t>
        </r>
      </text>
    </comment>
    <comment ref="I73"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List>
</comments>
</file>

<file path=xl/sharedStrings.xml><?xml version="1.0" encoding="utf-8"?>
<sst xmlns="http://schemas.openxmlformats.org/spreadsheetml/2006/main" count="1072" uniqueCount="278">
  <si>
    <t>GROSS RECEIPTS DISTRIBUTION REPORT</t>
  </si>
  <si>
    <t>Distribution Comparison</t>
  </si>
  <si>
    <t>TOTAL DISTRIBUTION</t>
  </si>
  <si>
    <t>%Increase</t>
  </si>
  <si>
    <t>Decrease</t>
  </si>
  <si>
    <t>MONTH</t>
  </si>
  <si>
    <t>Jul</t>
  </si>
  <si>
    <t>Aug</t>
  </si>
  <si>
    <t>Sep</t>
  </si>
  <si>
    <t xml:space="preserve">Oct </t>
  </si>
  <si>
    <t>Nov</t>
  </si>
  <si>
    <t>Dec</t>
  </si>
  <si>
    <t>Jan</t>
  </si>
  <si>
    <t>Feb</t>
  </si>
  <si>
    <t>Mar</t>
  </si>
  <si>
    <t>Apr</t>
  </si>
  <si>
    <t>May</t>
  </si>
  <si>
    <t>Jun</t>
  </si>
  <si>
    <t>YTD</t>
  </si>
  <si>
    <t>% Budget</t>
  </si>
  <si>
    <t xml:space="preserve">Dec </t>
  </si>
  <si>
    <t xml:space="preserve">B:  .225% DISTRIBUTION </t>
  </si>
  <si>
    <t>C:  .50% DISTRIBUTION</t>
  </si>
  <si>
    <t>a:   LOCAL</t>
  </si>
  <si>
    <t>b:  STATE</t>
  </si>
  <si>
    <t>TTL YTD</t>
  </si>
  <si>
    <t xml:space="preserve"> </t>
  </si>
  <si>
    <t>Work sheet for graph/hard code data for new month</t>
  </si>
  <si>
    <t xml:space="preserve">   1% DISTRIBUTION CHART</t>
  </si>
  <si>
    <t>Month</t>
  </si>
  <si>
    <t>1% CUMULATIVE TOTALS</t>
  </si>
  <si>
    <t xml:space="preserve">           TREASURER'S REPORT OF DEPOSITS</t>
  </si>
  <si>
    <t>TO RECORD RECEIPT OF:</t>
  </si>
  <si>
    <t>GROSS RECEIPTS TAX PAYMENTS FROM THE STATE OF NEW MEXICO</t>
  </si>
  <si>
    <t xml:space="preserve">1%   ( 81.60% OF STATE PORTION)                                </t>
  </si>
  <si>
    <t xml:space="preserve">.225%  ( 18.40% OF STATE PORTION)                            </t>
  </si>
  <si>
    <t>.0625% INFRA-STRUCTURE</t>
  </si>
  <si>
    <t xml:space="preserve">PENALTY &amp; INTEREST        </t>
  </si>
  <si>
    <t>(STATE SHARE)</t>
  </si>
  <si>
    <t xml:space="preserve">(MUNICIPAL SHARE)       </t>
  </si>
  <si>
    <t xml:space="preserve">1%  (  81.60% OF STATE PORTION)                                 </t>
  </si>
  <si>
    <t xml:space="preserve">.225% (  18.40% OF STATE PORTION)                              </t>
  </si>
  <si>
    <t xml:space="preserve">PENALTY &amp; INTEREST   (STATE SHARE)                   </t>
  </si>
  <si>
    <t>TOTAL:</t>
  </si>
  <si>
    <t>DEPOSIT DATE:</t>
  </si>
  <si>
    <t>VERIFIED :</t>
  </si>
  <si>
    <t>cc:</t>
  </si>
  <si>
    <t>File</t>
  </si>
  <si>
    <t xml:space="preserve">     CITY OF ALBUQUERQUE</t>
  </si>
  <si>
    <t>TREASURY DIVISION</t>
  </si>
  <si>
    <t xml:space="preserve">INTER-OFFICE CORRESPONDENCE: </t>
  </si>
  <si>
    <t>TO:</t>
  </si>
  <si>
    <t>FROM:</t>
  </si>
  <si>
    <t>SUBJECT:</t>
  </si>
  <si>
    <t xml:space="preserve"> GROSS RECEIPTS TAX DISTRIBUTION</t>
  </si>
  <si>
    <t xml:space="preserve">The total Gross Receipts Distribution for the period is listed below.  The distribution amounts listed below </t>
  </si>
  <si>
    <t>DISTRIBUTION AMOUNTS</t>
  </si>
  <si>
    <t>ADJUSTED AMOUNTS</t>
  </si>
  <si>
    <t xml:space="preserve">   a)  1% Portion</t>
  </si>
  <si>
    <t>APPROVED: _______________________________________</t>
  </si>
  <si>
    <t>GROSS RECEIPTS TAX DISTRIBUTION INFORMATION</t>
  </si>
  <si>
    <t>TO GENERATE THE APPORTIONMENT INFORMATION, FILL IN THE WORKSHEET DATE, THE CITY CHK AMOUNT, THE FAIR CHK AMOUNT, AND THE INDIVIDUAL WARRANT DISTRIBUTION INFO.</t>
  </si>
  <si>
    <t xml:space="preserve">THE TOTAL RECEIVED, DISTRIBUTION $, AND ADJUSTED TTL $ WILL BE AUTOMATICALLY CALCULATED.  NEXT, RUN MACRO (ALT 'C') TO GENERATE THE MONTHLY MEMO TO TWH AND TRANSMITTAL, </t>
  </si>
  <si>
    <t>FILL IN THE HISTORICAL REPORT INFO AND FINALLY, PRINT THE MEMO, TRANSMITTAL, REPORTS AND GRAPH.  (WATCH PRINTER CHANGES.)  MAKE APPROPRIATE DISTRIBUTION.</t>
  </si>
  <si>
    <t>DISTRIB DETAIL</t>
  </si>
  <si>
    <t>CITY CHK:</t>
  </si>
  <si>
    <t>STATE FAIR CHK:</t>
  </si>
  <si>
    <t>CITY DISTR</t>
  </si>
  <si>
    <t>CITY INT</t>
  </si>
  <si>
    <t>SF DISTR</t>
  </si>
  <si>
    <t>SF INT</t>
  </si>
  <si>
    <t>ADMIN CHRGS</t>
  </si>
  <si>
    <t>:</t>
  </si>
  <si>
    <t>TOTAL RECEIVED:</t>
  </si>
  <si>
    <t>CITY  CALCULATION</t>
  </si>
  <si>
    <t>GRT DISTR (INCL STATE FAIR)</t>
  </si>
  <si>
    <t>DISTRIB $</t>
  </si>
  <si>
    <t>ADJUSTED TTL $</t>
  </si>
  <si>
    <t>State FairDISTR$</t>
  </si>
  <si>
    <t>ADJ $</t>
  </si>
  <si>
    <t>CALULATION DISTR %</t>
  </si>
  <si>
    <t>ADJST %</t>
  </si>
  <si>
    <t>a)  1%</t>
  </si>
  <si>
    <t>b)  .225%</t>
  </si>
  <si>
    <t>c)  .50%</t>
  </si>
  <si>
    <t>Infra</t>
  </si>
  <si>
    <t>STATE SUB</t>
  </si>
  <si>
    <t>LOCAL SUB</t>
  </si>
  <si>
    <t>TTL P/I</t>
  </si>
  <si>
    <t>SUB</t>
  </si>
  <si>
    <t>Month:</t>
  </si>
  <si>
    <t>For the Month of:</t>
  </si>
  <si>
    <t>CITY PENALTY</t>
  </si>
  <si>
    <t>SF PENALTY</t>
  </si>
  <si>
    <t>GL CODE</t>
  </si>
  <si>
    <t>GRTI01</t>
  </si>
  <si>
    <t>GRTI02</t>
  </si>
  <si>
    <t>GRTI03</t>
  </si>
  <si>
    <t>GRTI04</t>
  </si>
  <si>
    <t>GRTI06</t>
  </si>
  <si>
    <t>GRTI07</t>
  </si>
  <si>
    <t>GRTI08</t>
  </si>
  <si>
    <t>GRTI09</t>
  </si>
  <si>
    <t>GRTI10</t>
  </si>
  <si>
    <t>GRTI11</t>
  </si>
  <si>
    <t xml:space="preserve">GENERAL CITY DISTRIBUTION         </t>
  </si>
  <si>
    <t xml:space="preserve">STATE FAIR DISTRIBUTION          </t>
  </si>
  <si>
    <t>GENERAL FUND</t>
  </si>
  <si>
    <t>Amount</t>
  </si>
  <si>
    <t>Date</t>
  </si>
  <si>
    <t xml:space="preserve">Administrative </t>
  </si>
  <si>
    <t>Charges</t>
  </si>
  <si>
    <t>* BREAK DOWN OF TRANSPORTATION FUNDS</t>
  </si>
  <si>
    <t>TRANSFER TO FUND 661</t>
  </si>
  <si>
    <t>GRTI5B</t>
  </si>
  <si>
    <t>GRTI5C</t>
  </si>
  <si>
    <t>GRTI5D</t>
  </si>
  <si>
    <t>GRTI5E</t>
  </si>
  <si>
    <t>GRTI5F</t>
  </si>
  <si>
    <t>GRTI5G</t>
  </si>
  <si>
    <t>GRTI5H</t>
  </si>
  <si>
    <t xml:space="preserve">BUDGET </t>
  </si>
  <si>
    <t xml:space="preserve">BUDGET * </t>
  </si>
  <si>
    <t>FY Total</t>
  </si>
  <si>
    <t>FY03</t>
  </si>
  <si>
    <t>FY02</t>
  </si>
  <si>
    <t>FY01</t>
  </si>
  <si>
    <t>FY00</t>
  </si>
  <si>
    <t>FY99</t>
  </si>
  <si>
    <t>BUDGET</t>
  </si>
  <si>
    <t>FY04</t>
  </si>
  <si>
    <t>The Following Gross Receipts Tax  Reports are attached:</t>
  </si>
  <si>
    <t>f)  .25% Public Safety</t>
  </si>
  <si>
    <t>g)   .0625%</t>
  </si>
  <si>
    <t>i)  Admin $</t>
  </si>
  <si>
    <t>h)  P/I</t>
  </si>
  <si>
    <t>j)  ADJUSTMENT</t>
  </si>
  <si>
    <t xml:space="preserve">          Public Safety Tax effective July1, 2004</t>
  </si>
  <si>
    <t>GRTI12</t>
  </si>
  <si>
    <t>Ytd LFYvsCFY</t>
  </si>
  <si>
    <t>ms</t>
  </si>
  <si>
    <t>GRTI05</t>
  </si>
  <si>
    <t>e)  .25% Open Space</t>
  </si>
  <si>
    <t xml:space="preserve">.50%  ( 45.00% OF MUNI PORTION)                                 </t>
  </si>
  <si>
    <t xml:space="preserve">Marti Luick,  City Council </t>
  </si>
  <si>
    <t>.25% Transportation (25% OF MUNI PORTION)*</t>
  </si>
  <si>
    <t>.25% Public Safety (25% OF MUNI PORTION)</t>
  </si>
  <si>
    <t>Cilia Aglialoro, Treasurer</t>
  </si>
  <si>
    <t>MUNICIPAL SHARE COMPENSATING TAX</t>
  </si>
  <si>
    <t>MUNICIPAL SHARE</t>
  </si>
  <si>
    <t>COMPENSATING TAX</t>
  </si>
  <si>
    <t>k) Municipal Share Compensating Tax</t>
  </si>
  <si>
    <t>Municipal GRT</t>
  </si>
  <si>
    <t>Municipal Food</t>
  </si>
  <si>
    <t>Municipal Medical</t>
  </si>
  <si>
    <t>A: 1% DISTRIBUTION</t>
  </si>
  <si>
    <t>SUMMARY REPORT</t>
  </si>
  <si>
    <t>TRANSPORATION</t>
  </si>
  <si>
    <t>CALCULATION FOR FOOD &amp; MEDICAL</t>
  </si>
  <si>
    <t>MUNICIPAL</t>
  </si>
  <si>
    <t xml:space="preserve">     PUBLIC SAFETY</t>
  </si>
  <si>
    <t>412001 - 7000295 / 295</t>
  </si>
  <si>
    <t>412006 - 7000295 / 295</t>
  </si>
  <si>
    <t>411601 - 7000295 / 295</t>
  </si>
  <si>
    <t>411606 - 7000295 / 295</t>
  </si>
  <si>
    <t>411605 - 7000295 / 295</t>
  </si>
  <si>
    <t>412008 - 7000295 / 295</t>
  </si>
  <si>
    <t>411602 - 7000295 / 295</t>
  </si>
  <si>
    <t>412011 - 7000295 / 295</t>
  </si>
  <si>
    <t>D: .25% TRANSPORTATION DISTRIBUTION</t>
  </si>
  <si>
    <t>E: .25% PUBLIC SAFETY DISTRIBUTION</t>
  </si>
  <si>
    <t xml:space="preserve"> F: .0625% INFRASTRUCTURE DISTRIBUTION  </t>
  </si>
  <si>
    <t xml:space="preserve"> G: MUNICIPAL SHARE COMPENSATING TAX</t>
  </si>
  <si>
    <t>H: PENALTY &amp; INTEREST</t>
  </si>
  <si>
    <t xml:space="preserve"> NOTE: Transportation Tax expired January 1, 2010 and was re-instated on July 1, 2010.  </t>
  </si>
  <si>
    <t xml:space="preserve">           </t>
  </si>
  <si>
    <t>TRANSFER FROM 341</t>
  </si>
  <si>
    <t>411605 - 7600300 / 341</t>
  </si>
  <si>
    <t>411605 - 7600030 / 341</t>
  </si>
  <si>
    <t>411605 - 7600820 / 341</t>
  </si>
  <si>
    <t>411605 - 7600010 / 341</t>
  </si>
  <si>
    <t>411605 - 7600020 / 341</t>
  </si>
  <si>
    <t>591661 - 7600820 / 341</t>
  </si>
  <si>
    <t>Admin Fee</t>
  </si>
  <si>
    <t>Municipal</t>
  </si>
  <si>
    <t>Stephanie Yara, Policy Analyst II</t>
  </si>
  <si>
    <t>491341 - 7000661 / 661</t>
  </si>
  <si>
    <r>
      <t xml:space="preserve">.25% Transportation (25% OF MUNI PORTION)   /       </t>
    </r>
    <r>
      <rPr>
        <b/>
        <sz val="8"/>
        <rFont val="Times New Roman"/>
        <family val="1"/>
      </rPr>
      <t>PCDMD 24_7000341</t>
    </r>
  </si>
  <si>
    <t>411605 - 7000341 / 341</t>
  </si>
  <si>
    <r>
      <t xml:space="preserve">36.00% TRANSIT                     /                        </t>
    </r>
    <r>
      <rPr>
        <b/>
        <sz val="8"/>
        <rFont val="Times New Roman"/>
        <family val="1"/>
      </rPr>
      <t>PCTRA 57_TRANF_FN_341</t>
    </r>
  </si>
  <si>
    <t>PCTRA 57_TRANF_FN_341</t>
  </si>
  <si>
    <r>
      <t xml:space="preserve">31.0% ROAD - REHAB                /                   </t>
    </r>
    <r>
      <rPr>
        <b/>
        <sz val="8"/>
        <rFont val="Times New Roman"/>
        <family val="1"/>
      </rPr>
      <t xml:space="preserve"> PCDMD 24_ROAD_Reb_341</t>
    </r>
  </si>
  <si>
    <r>
      <t>15% ROAD-DEFICIENCIES &amp; MISSING LINKS/</t>
    </r>
    <r>
      <rPr>
        <b/>
        <sz val="8"/>
        <rFont val="Times New Roman"/>
        <family val="1"/>
      </rPr>
      <t>PCDMD 24_ROAD_DEF_341</t>
    </r>
  </si>
  <si>
    <r>
      <t xml:space="preserve">13.00% ROAD MAINTENANCE           /               </t>
    </r>
    <r>
      <rPr>
        <b/>
        <sz val="8"/>
        <rFont val="Times New Roman"/>
        <family val="1"/>
      </rPr>
      <t>PCDMD 24_ROAD_Mnt_341</t>
    </r>
  </si>
  <si>
    <r>
      <t xml:space="preserve">  5.00% BIKE &amp; TRAILS               /                 </t>
    </r>
    <r>
      <rPr>
        <b/>
        <sz val="8"/>
        <rFont val="Times New Roman"/>
        <family val="1"/>
      </rPr>
      <t>PCDMD 24_TRAIL_BK_341</t>
    </r>
  </si>
  <si>
    <t>ADMIN CHRG</t>
  </si>
  <si>
    <t>Accounting</t>
  </si>
  <si>
    <t>State shared 1.225%</t>
  </si>
  <si>
    <t>Public Safety .25%</t>
  </si>
  <si>
    <t>Other General Fund .5625%</t>
  </si>
  <si>
    <t>% change</t>
  </si>
  <si>
    <t>Cummulative Change</t>
  </si>
  <si>
    <t>Total</t>
  </si>
  <si>
    <t>Penalty and Interest</t>
  </si>
  <si>
    <t>Municipal Share of Compensating Tax</t>
  </si>
  <si>
    <t>Total General Fund</t>
  </si>
  <si>
    <t>TRANSPORTATION INFRASTRUCTURE TAX FUND</t>
  </si>
  <si>
    <t>Transportation Infrastructure Tax .25%</t>
  </si>
  <si>
    <t>Treasurer</t>
  </si>
  <si>
    <t>Chris Payton</t>
  </si>
  <si>
    <t>Transit</t>
  </si>
  <si>
    <t>FY2016</t>
  </si>
  <si>
    <t>FY16/FY15</t>
  </si>
  <si>
    <t>FY16</t>
  </si>
  <si>
    <t>Raquel Dawson</t>
  </si>
  <si>
    <t>ADJ 635 Muni Capital Outlay</t>
  </si>
  <si>
    <t>FY2017</t>
  </si>
  <si>
    <t>FY17/FY16</t>
  </si>
  <si>
    <t>FY17</t>
  </si>
  <si>
    <t>.125% BioPark Capital Fund</t>
  </si>
  <si>
    <t>d)  .125% BioPark Capital Tax</t>
  </si>
  <si>
    <t>NA</t>
  </si>
  <si>
    <t>BIOPARK CAPITAL TAX FUND</t>
  </si>
  <si>
    <t>BioPark Capital Tax .125%</t>
  </si>
  <si>
    <t>.125% BIOPARK CAPITAL FUND</t>
  </si>
  <si>
    <t>PCDCS 23_7000336</t>
  </si>
  <si>
    <t>411607- 7000336 / 336</t>
  </si>
  <si>
    <t>PCDMD 24_7000341</t>
  </si>
  <si>
    <t>FY2018</t>
  </si>
  <si>
    <t>FY18/FY17</t>
  </si>
  <si>
    <t>FY18</t>
  </si>
  <si>
    <t>FY/18</t>
  </si>
  <si>
    <t>Tim Keller, Mayor</t>
  </si>
  <si>
    <t>Sarita Nair, Chief Administrative Officer</t>
  </si>
  <si>
    <t>Lawrence Rael, Chief Operations Officer</t>
  </si>
  <si>
    <t xml:space="preserve">Sanjay M. Bhakta, Chief Financial Officer </t>
  </si>
  <si>
    <t>The growth rate is large in January 2018 due to a reduction in the January 2017 distribution for past uncollected administrative fees.</t>
  </si>
  <si>
    <t>Note:</t>
  </si>
  <si>
    <t>Erik Harrigan, Financial Advisor, RBC Capital Markets</t>
  </si>
  <si>
    <t>FY2019</t>
  </si>
  <si>
    <t>FY19/FY18</t>
  </si>
  <si>
    <t>FY19</t>
  </si>
  <si>
    <t>FY/19</t>
  </si>
  <si>
    <t>.375% Hold Harmless</t>
  </si>
  <si>
    <t>Distribution Comparison  FY2016, FY2017, FY2018, FY2019</t>
  </si>
  <si>
    <t>Adjusted One-Percent Portion FY2017, FY2018, FY2019 - Graph</t>
  </si>
  <si>
    <t>.375 HOLD HARMLESS</t>
  </si>
  <si>
    <t>411608 - 7000295 / 295</t>
  </si>
  <si>
    <t xml:space="preserve">  h.) .125% BioPark Capital Fund</t>
  </si>
  <si>
    <t xml:space="preserve">   j.)  Penalty &amp; Interest</t>
  </si>
  <si>
    <t xml:space="preserve">  k.)  Admin Charges</t>
  </si>
  <si>
    <t xml:space="preserve">  l.)  Adjustments</t>
  </si>
  <si>
    <t xml:space="preserve">  e.)  .25% Transportation</t>
  </si>
  <si>
    <t xml:space="preserve">  f.)  .25% Public Safety</t>
  </si>
  <si>
    <t xml:space="preserve">  d.)  .50% Portion</t>
  </si>
  <si>
    <t xml:space="preserve">  g.)  .0625%  Infra-Structure </t>
  </si>
  <si>
    <t xml:space="preserve">  i.) Municipal Share Compensating Tax</t>
  </si>
  <si>
    <t>b.375</t>
  </si>
  <si>
    <t xml:space="preserve">   b.)  .225% Portion</t>
  </si>
  <si>
    <t xml:space="preserve">   c)  .375 Hold Harmless</t>
  </si>
  <si>
    <t>Check</t>
  </si>
  <si>
    <t>Note: 2018 was adjusted for change in Penalty and Interest</t>
  </si>
  <si>
    <t>Cross Check</t>
  </si>
  <si>
    <t>Hold Harmless .375% (July 1, 2018)</t>
  </si>
  <si>
    <t>P&amp;I taken from biopark</t>
  </si>
  <si>
    <t>MUNI SHR-STATE GRT 690</t>
  </si>
  <si>
    <t>MUNI GRT 650</t>
  </si>
  <si>
    <t>MUNI INFRA 645</t>
  </si>
  <si>
    <t>HOLD HARMLESS 660</t>
  </si>
  <si>
    <t xml:space="preserve"> #650</t>
  </si>
  <si>
    <t>Renee Martinez, Deputy Director DFAS</t>
  </si>
  <si>
    <t>Christine Boerner, City Economist, OMB</t>
  </si>
  <si>
    <t>Christopher Daniel, Chief Investment Officer</t>
  </si>
  <si>
    <t>Reviewed by:  Christine Boerner, City Economist</t>
  </si>
  <si>
    <t>are reported by the State one month prior to the actual distribution.  The adjusted amounts are posted to the General Ledger.</t>
  </si>
  <si>
    <t>To be in compliance with GASB rules, the gross receipts data in these tables reflect a one month accrual.</t>
  </si>
  <si>
    <t>Klarissa J. Pena, City Council President</t>
  </si>
  <si>
    <t>June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</si>
</sst>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_);[Red]\(&quot;$&quot;#,##0.0\)"/>
    <numFmt numFmtId="166" formatCode="0.0%"/>
    <numFmt numFmtId="167" formatCode="mmmm\-yy"/>
    <numFmt numFmtId="168" formatCode="&quot;$&quot;#,##0.00"/>
    <numFmt numFmtId="169" formatCode="_-* #,##0\ &quot;F&quot;_-;\-* #,##0\ &quot;F&quot;_-;_-* &quot;-&quot;\ &quot;F&quot;_-;_-@_-"/>
    <numFmt numFmtId="170" formatCode="_-* #,##0\ _F_-;\-* #,##0\ _F_-;_-* &quot;-&quot;\ _F_-;_-@_-"/>
    <numFmt numFmtId="171" formatCode="_-* #,##0.00\ &quot;F&quot;_-;\-* #,##0.00\ &quot;F&quot;_-;_-* &quot;-&quot;??\ &quot;F&quot;_-;_-@_-"/>
    <numFmt numFmtId="172" formatCode="_-* #,##0.00\ _F_-;\-* #,##0.00\ _F_-;_-* &quot;-&quot;??\ _F_-;_-@_-"/>
    <numFmt numFmtId="173" formatCode="&quot;\&quot;#,##0;[Red]&quot;\&quot;\-#,##0"/>
    <numFmt numFmtId="174" formatCode="mmmm\ d\,\ yyyy"/>
    <numFmt numFmtId="175" formatCode="0.000"/>
    <numFmt numFmtId="176" formatCode="0.0000"/>
    <numFmt numFmtId="177" formatCode="&quot;$&quot;#,##0.0000_);\(&quot;$&quot;#,##0.0000\)"/>
    <numFmt numFmtId="178" formatCode="mmm\-yyyy"/>
    <numFmt numFmtId="179" formatCode="mm/dd/yy"/>
    <numFmt numFmtId="180" formatCode="_(* #,##0.00000000_);_(* \(#,##0.00000000\);_(* &quot;-&quot;????????_);_(@_)"/>
    <numFmt numFmtId="181" formatCode="0.0000%"/>
    <numFmt numFmtId="182" formatCode="0.00000%"/>
    <numFmt numFmtId="183" formatCode="0.000%"/>
    <numFmt numFmtId="184" formatCode="&quot;$&quot;#,##0.000_);\(&quot;$&quot;#,##0.000\)"/>
    <numFmt numFmtId="185" formatCode="&quot;$&quot;#,##0.00000_);\(&quot;$&quot;#,##0.00000\)"/>
    <numFmt numFmtId="186" formatCode="&quot;$&quot;#,##0.000000_);\(&quot;$&quot;#,##0.000000\)"/>
    <numFmt numFmtId="187" formatCode="#,##0.0"/>
    <numFmt numFmtId="188" formatCode="&quot;$&quot;#,##0.0_);\(&quot;$&quot;#,##0.0\)"/>
    <numFmt numFmtId="189" formatCode="#,##0.000"/>
    <numFmt numFmtId="190" formatCode="#,##0.0000"/>
    <numFmt numFmtId="191" formatCode="#,##0.00000"/>
    <numFmt numFmtId="192" formatCode="#,##0.000000"/>
    <numFmt numFmtId="193" formatCode="#,##0.0000000"/>
    <numFmt numFmtId="194" formatCode="&quot;$&quot;#,##0.000_);[Red]\(&quot;$&quot;#,##0.000\)"/>
    <numFmt numFmtId="195" formatCode="&quot;$&quot;#,##0.00000000_);[Red]\(&quot;$&quot;#,##0.00000000\)"/>
    <numFmt numFmtId="196" formatCode="&quot;$&quot;#,##0.0000_);[Red]\(&quot;$&quot;#,##0.0000\)"/>
    <numFmt numFmtId="197" formatCode="0.000000%"/>
    <numFmt numFmtId="198" formatCode="0.0000000%"/>
    <numFmt numFmtId="199" formatCode="0.00000000%"/>
    <numFmt numFmtId="200" formatCode="0;\-0;;@"/>
    <numFmt numFmtId="201" formatCode="[$-409]dddd\,\ mmmm\ dd\,\ yyyy"/>
    <numFmt numFmtId="202" formatCode="[$-409]h:mm:ss\ AM/PM"/>
    <numFmt numFmtId="203" formatCode="&quot;Yes&quot;;&quot;Yes&quot;;&quot;No&quot;"/>
    <numFmt numFmtId="204" formatCode="&quot;True&quot;;&quot;True&quot;;&quot;False&quot;"/>
    <numFmt numFmtId="205" formatCode="&quot;On&quot;;&quot;On&quot;;&quot;Off&quot;"/>
    <numFmt numFmtId="206" formatCode="[$€-2]\ #,##0.00_);[Red]\([$€-2]\ #,##0.00\)"/>
  </numFmts>
  <fonts count="93">
    <font>
      <sz val="10"/>
      <name val="Geneva"/>
      <family val="0"/>
    </font>
    <font>
      <b/>
      <sz val="10"/>
      <name val="Geneva"/>
      <family val="0"/>
    </font>
    <font>
      <i/>
      <sz val="10"/>
      <name val="Geneva"/>
      <family val="0"/>
    </font>
    <font>
      <b/>
      <i/>
      <sz val="10"/>
      <name val="Geneva"/>
      <family val="0"/>
    </font>
    <font>
      <sz val="10"/>
      <name val="Times New Roman"/>
      <family val="1"/>
    </font>
    <font>
      <sz val="9"/>
      <name val="Times New Roman"/>
      <family val="1"/>
    </font>
    <font>
      <sz val="9"/>
      <color indexed="12"/>
      <name val="Times New Roman"/>
      <family val="1"/>
    </font>
    <font>
      <sz val="8"/>
      <name val="Times New Roman"/>
      <family val="1"/>
    </font>
    <font>
      <b/>
      <sz val="10"/>
      <name val="Times New Roman"/>
      <family val="1"/>
    </font>
    <font>
      <sz val="10"/>
      <color indexed="12"/>
      <name val="Times New Roman"/>
      <family val="1"/>
    </font>
    <font>
      <b/>
      <sz val="12"/>
      <name val="Times New Roman"/>
      <family val="1"/>
    </font>
    <font>
      <b/>
      <sz val="14"/>
      <name val="Times New Roman"/>
      <family val="1"/>
    </font>
    <font>
      <b/>
      <sz val="16"/>
      <name val="Times New Roman"/>
      <family val="1"/>
    </font>
    <font>
      <sz val="14"/>
      <name val="Times New Roman"/>
      <family val="1"/>
    </font>
    <font>
      <sz val="12"/>
      <name val="Times New Roman"/>
      <family val="1"/>
    </font>
    <font>
      <b/>
      <u val="single"/>
      <sz val="10"/>
      <name val="Times New Roman"/>
      <family val="1"/>
    </font>
    <font>
      <b/>
      <u val="single"/>
      <sz val="12"/>
      <name val="Times New Roman"/>
      <family val="1"/>
    </font>
    <font>
      <sz val="12"/>
      <color indexed="12"/>
      <name val="Times New Roman"/>
      <family val="1"/>
    </font>
    <font>
      <u val="single"/>
      <sz val="10"/>
      <color indexed="12"/>
      <name val="Times New Roman"/>
      <family val="1"/>
    </font>
    <font>
      <b/>
      <sz val="9"/>
      <name val="Times New Roman"/>
      <family val="1"/>
    </font>
    <font>
      <b/>
      <sz val="8"/>
      <name val="Times New Roman"/>
      <family val="1"/>
    </font>
    <font>
      <b/>
      <sz val="10"/>
      <color indexed="8"/>
      <name val="Times New Roman"/>
      <family val="1"/>
    </font>
    <font>
      <i/>
      <sz val="12"/>
      <name val="Times New Roman"/>
      <family val="1"/>
    </font>
    <font>
      <sz val="8"/>
      <color indexed="12"/>
      <name val="Times New Roman"/>
      <family val="1"/>
    </font>
    <font>
      <b/>
      <u val="single"/>
      <sz val="8"/>
      <name val="Times New Roman"/>
      <family val="1"/>
    </font>
    <font>
      <sz val="8"/>
      <color indexed="8"/>
      <name val="Times New Roman"/>
      <family val="1"/>
    </font>
    <font>
      <b/>
      <sz val="8"/>
      <name val="Tahoma"/>
      <family val="2"/>
    </font>
    <font>
      <sz val="11"/>
      <name val="‚l‚r –¾’©"/>
      <family val="0"/>
    </font>
    <font>
      <sz val="10"/>
      <name val="Arial"/>
      <family val="2"/>
    </font>
    <font>
      <sz val="12"/>
      <name val="Tms Rmn"/>
      <family val="0"/>
    </font>
    <font>
      <sz val="8"/>
      <name val="Arial"/>
      <family val="2"/>
    </font>
    <font>
      <sz val="10"/>
      <name val="MS Serif"/>
      <family val="1"/>
    </font>
    <font>
      <sz val="10"/>
      <color indexed="16"/>
      <name val="MS Serif"/>
      <family val="1"/>
    </font>
    <font>
      <u val="single"/>
      <sz val="10"/>
      <color indexed="14"/>
      <name val="MS Sans Serif"/>
      <family val="2"/>
    </font>
    <font>
      <b/>
      <sz val="12"/>
      <color indexed="9"/>
      <name val="Tms Rmn"/>
      <family val="0"/>
    </font>
    <font>
      <b/>
      <sz val="10"/>
      <name val="Small Fonts"/>
      <family val="2"/>
    </font>
    <font>
      <b/>
      <sz val="12"/>
      <name val="Arial"/>
      <family val="2"/>
    </font>
    <font>
      <b/>
      <sz val="8"/>
      <name val="MS Sans Serif"/>
      <family val="2"/>
    </font>
    <font>
      <u val="single"/>
      <sz val="10"/>
      <color indexed="12"/>
      <name val="MS Sans Serif"/>
      <family val="2"/>
    </font>
    <font>
      <sz val="8"/>
      <name val="MS Sans Serif"/>
      <family val="2"/>
    </font>
    <font>
      <sz val="8"/>
      <name val="Wingdings"/>
      <family val="0"/>
    </font>
    <font>
      <sz val="8"/>
      <name val="Helv"/>
      <family val="0"/>
    </font>
    <font>
      <b/>
      <sz val="8"/>
      <color indexed="8"/>
      <name val="Helv"/>
      <family val="0"/>
    </font>
    <font>
      <u val="single"/>
      <sz val="10"/>
      <name val="Times New Roman"/>
      <family val="1"/>
    </font>
    <font>
      <sz val="8"/>
      <name val="Geneva"/>
      <family val="0"/>
    </font>
    <font>
      <b/>
      <sz val="8"/>
      <color indexed="12"/>
      <name val="Times New Roman"/>
      <family val="1"/>
    </font>
    <font>
      <sz val="11"/>
      <name val="Times New Roman"/>
      <family val="1"/>
    </font>
    <font>
      <u val="single"/>
      <sz val="12"/>
      <name val="Times New Roman"/>
      <family val="1"/>
    </font>
    <font>
      <b/>
      <u val="single"/>
      <sz val="9"/>
      <name val="Times New Roman"/>
      <family val="1"/>
    </font>
    <font>
      <sz val="9"/>
      <name val="Geneva"/>
      <family val="0"/>
    </font>
    <font>
      <sz val="9"/>
      <color indexed="8"/>
      <name val="Times New Roman"/>
      <family val="1"/>
    </font>
    <font>
      <b/>
      <sz val="14"/>
      <name val="Geneva"/>
      <family val="0"/>
    </font>
    <font>
      <sz val="10"/>
      <color indexed="8"/>
      <name val="Times New Roman"/>
      <family val="0"/>
    </font>
    <font>
      <sz val="5.95"/>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sz val="10"/>
      <color indexed="10"/>
      <name val="Times New Roman"/>
      <family val="1"/>
    </font>
    <font>
      <sz val="10"/>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Times New Roman"/>
      <family val="1"/>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darkVertica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9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75" fillId="26" borderId="0" applyNumberFormat="0" applyBorder="0" applyAlignment="0" applyProtection="0"/>
    <xf numFmtId="0" fontId="29" fillId="0" borderId="0" applyNumberFormat="0" applyFill="0" applyBorder="0" applyAlignment="0" applyProtection="0"/>
    <xf numFmtId="165" fontId="28" fillId="0" borderId="0" applyFill="0" applyBorder="0" applyAlignment="0">
      <protection/>
    </xf>
    <xf numFmtId="0" fontId="76" fillId="27" borderId="1" applyNumberFormat="0" applyAlignment="0" applyProtection="0"/>
    <xf numFmtId="0" fontId="77" fillId="28" borderId="2" applyNumberFormat="0" applyAlignment="0" applyProtection="0"/>
    <xf numFmtId="4" fontId="0" fillId="0" borderId="0" applyFont="0" applyFill="0" applyBorder="0" applyAlignment="0" applyProtection="0"/>
    <xf numFmtId="41" fontId="4" fillId="0" borderId="0" applyFont="0" applyFill="0" applyBorder="0" applyAlignment="0" applyProtection="0"/>
    <xf numFmtId="0" fontId="31" fillId="0" borderId="0" applyNumberFormat="0" applyAlignment="0">
      <protection/>
    </xf>
    <xf numFmtId="8" fontId="0" fillId="0" borderId="0" applyFont="0" applyFill="0" applyBorder="0" applyAlignment="0" applyProtection="0"/>
    <xf numFmtId="42" fontId="4" fillId="0" borderId="0" applyFont="0" applyFill="0" applyBorder="0" applyAlignment="0" applyProtection="0"/>
    <xf numFmtId="0" fontId="32" fillId="0" borderId="0" applyNumberFormat="0" applyAlignment="0">
      <protection/>
    </xf>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38" fontId="30" fillId="30" borderId="0" applyNumberFormat="0" applyBorder="0" applyAlignment="0" applyProtection="0"/>
    <xf numFmtId="0" fontId="34" fillId="31" borderId="0">
      <alignment/>
      <protection/>
    </xf>
    <xf numFmtId="0" fontId="35" fillId="0" borderId="0">
      <alignment horizontal="center"/>
      <protection/>
    </xf>
    <xf numFmtId="0" fontId="36" fillId="0" borderId="3" applyNumberFormat="0" applyAlignment="0" applyProtection="0"/>
    <xf numFmtId="0" fontId="36" fillId="0" borderId="4">
      <alignment horizontal="left" vertical="center"/>
      <protection/>
    </xf>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37" fillId="0" borderId="8">
      <alignment horizontal="center"/>
      <protection/>
    </xf>
    <xf numFmtId="0" fontId="37" fillId="0" borderId="0">
      <alignment horizontal="center"/>
      <protection/>
    </xf>
    <xf numFmtId="0" fontId="38" fillId="0" borderId="0" applyNumberFormat="0" applyFill="0" applyBorder="0" applyAlignment="0" applyProtection="0"/>
    <xf numFmtId="0" fontId="83" fillId="32" borderId="1" applyNumberFormat="0" applyAlignment="0" applyProtection="0"/>
    <xf numFmtId="10" fontId="30" fillId="33" borderId="9" applyNumberFormat="0" applyBorder="0" applyAlignment="0" applyProtection="0"/>
    <xf numFmtId="0" fontId="84" fillId="0" borderId="10" applyNumberFormat="0" applyFill="0" applyAlignment="0" applyProtection="0"/>
    <xf numFmtId="170" fontId="28" fillId="0" borderId="0" applyFont="0" applyFill="0" applyBorder="0" applyAlignment="0" applyProtection="0"/>
    <xf numFmtId="172" fontId="28" fillId="0" borderId="0" applyFont="0" applyFill="0" applyBorder="0" applyAlignment="0" applyProtection="0"/>
    <xf numFmtId="0" fontId="30" fillId="0" borderId="9" applyNumberFormat="0" applyFont="0" applyBorder="0">
      <alignment horizontal="left" vertical="top" wrapText="1"/>
      <protection/>
    </xf>
    <xf numFmtId="0" fontId="30" fillId="0" borderId="9" applyNumberFormat="0" applyFont="0" applyBorder="0">
      <alignment horizontal="left" vertical="top" wrapText="1"/>
      <protection/>
    </xf>
    <xf numFmtId="0" fontId="30" fillId="0" borderId="9" applyNumberFormat="0" applyFont="0" applyBorder="0">
      <alignment horizontal="left" vertical="top" wrapText="1"/>
      <protection/>
    </xf>
    <xf numFmtId="169" fontId="28" fillId="0" borderId="0" applyFont="0" applyFill="0" applyBorder="0" applyAlignment="0" applyProtection="0"/>
    <xf numFmtId="171" fontId="28" fillId="0" borderId="0" applyFont="0" applyFill="0" applyBorder="0" applyAlignment="0" applyProtection="0"/>
    <xf numFmtId="0" fontId="85" fillId="34" borderId="0" applyNumberFormat="0" applyBorder="0" applyAlignment="0" applyProtection="0"/>
    <xf numFmtId="168" fontId="28" fillId="0" borderId="0">
      <alignment/>
      <protection/>
    </xf>
    <xf numFmtId="164" fontId="0" fillId="0" borderId="0">
      <alignment/>
      <protection/>
    </xf>
    <xf numFmtId="0" fontId="0" fillId="35" borderId="11" applyNumberFormat="0" applyFont="0" applyAlignment="0" applyProtection="0"/>
    <xf numFmtId="40" fontId="27" fillId="0" borderId="0" applyFont="0" applyFill="0" applyBorder="0" applyAlignment="0" applyProtection="0"/>
    <xf numFmtId="38" fontId="27" fillId="0" borderId="0" applyFont="0" applyFill="0" applyBorder="0" applyAlignment="0" applyProtection="0"/>
    <xf numFmtId="0" fontId="86" fillId="27" borderId="12" applyNumberFormat="0" applyAlignment="0" applyProtection="0"/>
    <xf numFmtId="14" fontId="7" fillId="0" borderId="0">
      <alignment horizontal="center" wrapText="1"/>
      <protection locked="0"/>
    </xf>
    <xf numFmtId="14" fontId="7" fillId="0" borderId="0">
      <alignment horizontal="center" wrapText="1"/>
      <protection locked="0"/>
    </xf>
    <xf numFmtId="14" fontId="7" fillId="0" borderId="0">
      <alignment horizontal="center" wrapText="1"/>
      <protection locked="0"/>
    </xf>
    <xf numFmtId="9" fontId="0" fillId="0" borderId="0" applyFont="0" applyFill="0" applyBorder="0" applyAlignment="0" applyProtection="0"/>
    <xf numFmtId="10" fontId="28" fillId="0" borderId="0" applyFont="0" applyFill="0" applyBorder="0" applyAlignment="0" applyProtection="0"/>
    <xf numFmtId="0" fontId="40" fillId="36" borderId="0" applyNumberFormat="0" applyFont="0" applyBorder="0" applyAlignment="0">
      <protection/>
    </xf>
    <xf numFmtId="14" fontId="41" fillId="0" borderId="0" applyNumberFormat="0" applyFill="0" applyBorder="0" applyAlignment="0" applyProtection="0"/>
    <xf numFmtId="0" fontId="40" fillId="1" borderId="4" applyNumberFormat="0" applyFont="0" applyAlignment="0">
      <protection/>
    </xf>
    <xf numFmtId="0" fontId="39" fillId="0" borderId="0" applyNumberFormat="0" applyFill="0" applyBorder="0" applyAlignment="0">
      <protection/>
    </xf>
    <xf numFmtId="40" fontId="42" fillId="0" borderId="0" applyBorder="0">
      <alignment horizontal="right"/>
      <protection/>
    </xf>
    <xf numFmtId="0" fontId="87" fillId="0" borderId="0" applyNumberFormat="0" applyFill="0" applyBorder="0" applyAlignment="0" applyProtection="0"/>
    <xf numFmtId="0" fontId="88" fillId="0" borderId="13" applyNumberFormat="0" applyFill="0" applyAlignment="0" applyProtection="0"/>
    <xf numFmtId="0" fontId="89" fillId="0" borderId="0" applyNumberFormat="0" applyFill="0" applyBorder="0" applyAlignment="0" applyProtection="0"/>
  </cellStyleXfs>
  <cellXfs count="351">
    <xf numFmtId="164" fontId="0" fillId="0" borderId="0" xfId="0" applyAlignment="1">
      <alignment/>
    </xf>
    <xf numFmtId="164" fontId="5" fillId="0" borderId="0" xfId="0" applyFont="1" applyAlignment="1">
      <alignment/>
    </xf>
    <xf numFmtId="164" fontId="5" fillId="0" borderId="0" xfId="0" applyFont="1" applyAlignment="1">
      <alignment horizontal="left"/>
    </xf>
    <xf numFmtId="164" fontId="5" fillId="0" borderId="0" xfId="0" applyFont="1" applyAlignment="1">
      <alignment horizontal="center"/>
    </xf>
    <xf numFmtId="164" fontId="7" fillId="0" borderId="0" xfId="0" applyFont="1" applyAlignment="1">
      <alignment/>
    </xf>
    <xf numFmtId="164" fontId="4" fillId="0" borderId="0" xfId="0" applyFont="1" applyAlignment="1">
      <alignment/>
    </xf>
    <xf numFmtId="164" fontId="8" fillId="0" borderId="0" xfId="0" applyFont="1" applyAlignment="1">
      <alignment/>
    </xf>
    <xf numFmtId="164" fontId="4" fillId="0" borderId="0" xfId="0" applyFont="1" applyBorder="1" applyAlignment="1">
      <alignment/>
    </xf>
    <xf numFmtId="164" fontId="4" fillId="0" borderId="0" xfId="0" applyFont="1" applyAlignment="1">
      <alignment horizontal="left"/>
    </xf>
    <xf numFmtId="8" fontId="4" fillId="0" borderId="0" xfId="50" applyFont="1" applyAlignment="1">
      <alignment/>
    </xf>
    <xf numFmtId="164" fontId="9" fillId="0" borderId="0" xfId="0" applyFont="1" applyAlignment="1" applyProtection="1">
      <alignment/>
      <protection locked="0"/>
    </xf>
    <xf numFmtId="7" fontId="4" fillId="0" borderId="0" xfId="0" applyNumberFormat="1" applyFont="1" applyAlignment="1" applyProtection="1">
      <alignment/>
      <protection/>
    </xf>
    <xf numFmtId="164" fontId="4" fillId="0" borderId="0" xfId="0" applyFont="1" applyAlignment="1">
      <alignment horizontal="center"/>
    </xf>
    <xf numFmtId="164" fontId="10" fillId="0" borderId="0" xfId="0" applyFont="1" applyAlignment="1">
      <alignment horizontal="centerContinuous"/>
    </xf>
    <xf numFmtId="164" fontId="5" fillId="0" borderId="0" xfId="0" applyFont="1" applyAlignment="1">
      <alignment horizontal="centerContinuous"/>
    </xf>
    <xf numFmtId="164" fontId="8" fillId="0" borderId="0" xfId="0" applyFont="1" applyAlignment="1">
      <alignment horizontal="centerContinuous"/>
    </xf>
    <xf numFmtId="164" fontId="4" fillId="0" borderId="0" xfId="0" applyFont="1" applyAlignment="1">
      <alignment horizontal="centerContinuous"/>
    </xf>
    <xf numFmtId="164" fontId="13" fillId="0" borderId="0" xfId="0" applyFont="1" applyAlignment="1">
      <alignment horizontal="centerContinuous"/>
    </xf>
    <xf numFmtId="7" fontId="4" fillId="0" borderId="0" xfId="0" applyNumberFormat="1" applyFont="1" applyAlignment="1" applyProtection="1">
      <alignment horizontal="center"/>
      <protection/>
    </xf>
    <xf numFmtId="164" fontId="4" fillId="0" borderId="0" xfId="0" applyFont="1" applyAlignment="1">
      <alignment/>
    </xf>
    <xf numFmtId="164" fontId="14" fillId="0" borderId="0" xfId="0" applyFont="1" applyAlignment="1">
      <alignment horizontal="centerContinuous"/>
    </xf>
    <xf numFmtId="164" fontId="14" fillId="0" borderId="0" xfId="0" applyFont="1" applyAlignment="1">
      <alignment horizontal="center"/>
    </xf>
    <xf numFmtId="164" fontId="14" fillId="0" borderId="0" xfId="0" applyFont="1" applyAlignment="1">
      <alignment/>
    </xf>
    <xf numFmtId="5" fontId="9" fillId="0" borderId="0" xfId="0" applyNumberFormat="1" applyFont="1" applyAlignment="1" applyProtection="1">
      <alignment horizontal="center"/>
      <protection locked="0"/>
    </xf>
    <xf numFmtId="164" fontId="15" fillId="0" borderId="0" xfId="0" applyFont="1" applyAlignment="1">
      <alignment horizontal="left"/>
    </xf>
    <xf numFmtId="5" fontId="5" fillId="0" borderId="0" xfId="0" applyNumberFormat="1" applyFont="1" applyAlignment="1">
      <alignment/>
    </xf>
    <xf numFmtId="164" fontId="18" fillId="0" borderId="0" xfId="0" applyFont="1" applyAlignment="1" applyProtection="1">
      <alignment horizontal="right"/>
      <protection locked="0"/>
    </xf>
    <xf numFmtId="164" fontId="15" fillId="0" borderId="0" xfId="0" applyFont="1" applyBorder="1" applyAlignment="1">
      <alignment/>
    </xf>
    <xf numFmtId="164" fontId="8" fillId="0" borderId="0" xfId="0" applyFont="1" applyAlignment="1">
      <alignment horizontal="left"/>
    </xf>
    <xf numFmtId="164" fontId="11" fillId="0" borderId="0" xfId="0" applyFont="1" applyAlignment="1">
      <alignment horizontal="centerContinuous"/>
    </xf>
    <xf numFmtId="164" fontId="4" fillId="0" borderId="14" xfId="0" applyFont="1" applyBorder="1" applyAlignment="1">
      <alignment horizontal="left"/>
    </xf>
    <xf numFmtId="164" fontId="4" fillId="0" borderId="0" xfId="0" applyFont="1" applyBorder="1" applyAlignment="1">
      <alignment horizontal="left"/>
    </xf>
    <xf numFmtId="164" fontId="7" fillId="0" borderId="0" xfId="0" applyFont="1" applyAlignment="1">
      <alignment horizontal="left"/>
    </xf>
    <xf numFmtId="164" fontId="19" fillId="0" borderId="0" xfId="0" applyFont="1" applyAlignment="1">
      <alignment/>
    </xf>
    <xf numFmtId="164" fontId="7" fillId="0" borderId="0" xfId="0" applyFont="1" applyAlignment="1">
      <alignment horizontal="center"/>
    </xf>
    <xf numFmtId="164" fontId="20" fillId="0" borderId="0" xfId="0" applyFont="1" applyAlignment="1">
      <alignment horizontal="left"/>
    </xf>
    <xf numFmtId="164" fontId="20" fillId="0" borderId="0" xfId="0" applyFont="1" applyAlignment="1">
      <alignment/>
    </xf>
    <xf numFmtId="10" fontId="7" fillId="0" borderId="0" xfId="88" applyNumberFormat="1" applyFont="1" applyAlignment="1">
      <alignment/>
    </xf>
    <xf numFmtId="164" fontId="16" fillId="0" borderId="0" xfId="0" applyFont="1" applyAlignment="1">
      <alignment/>
    </xf>
    <xf numFmtId="164" fontId="9" fillId="0" borderId="0" xfId="0" applyFont="1" applyAlignment="1" applyProtection="1">
      <alignment horizontal="left"/>
      <protection locked="0"/>
    </xf>
    <xf numFmtId="7" fontId="9" fillId="0" borderId="0" xfId="0" applyNumberFormat="1" applyFont="1" applyAlignment="1" applyProtection="1">
      <alignment/>
      <protection locked="0"/>
    </xf>
    <xf numFmtId="7" fontId="4" fillId="0" borderId="0" xfId="0" applyNumberFormat="1" applyFont="1" applyAlignment="1" applyProtection="1" quotePrefix="1">
      <alignment/>
      <protection/>
    </xf>
    <xf numFmtId="7" fontId="4" fillId="0" borderId="14" xfId="0" applyNumberFormat="1" applyFont="1" applyBorder="1" applyAlignment="1" applyProtection="1">
      <alignment/>
      <protection/>
    </xf>
    <xf numFmtId="164" fontId="8" fillId="0" borderId="0" xfId="0" applyFont="1" applyAlignment="1">
      <alignment horizontal="right"/>
    </xf>
    <xf numFmtId="7" fontId="4" fillId="0" borderId="15" xfId="0" applyNumberFormat="1" applyFont="1" applyBorder="1" applyAlignment="1" applyProtection="1">
      <alignment/>
      <protection/>
    </xf>
    <xf numFmtId="164" fontId="9" fillId="0" borderId="0" xfId="0" applyFont="1" applyBorder="1" applyAlignment="1" applyProtection="1">
      <alignment/>
      <protection locked="0"/>
    </xf>
    <xf numFmtId="164" fontId="21" fillId="0" borderId="0" xfId="0" applyFont="1" applyAlignment="1" applyProtection="1">
      <alignment horizontal="left"/>
      <protection locked="0"/>
    </xf>
    <xf numFmtId="164" fontId="4" fillId="0" borderId="0" xfId="0" applyFont="1" applyAlignment="1">
      <alignment horizontal="right"/>
    </xf>
    <xf numFmtId="7" fontId="15" fillId="0" borderId="0" xfId="0" applyNumberFormat="1" applyFont="1" applyAlignment="1" applyProtection="1">
      <alignment horizontal="center"/>
      <protection/>
    </xf>
    <xf numFmtId="7" fontId="15" fillId="0" borderId="0" xfId="0" applyNumberFormat="1" applyFont="1" applyAlignment="1" applyProtection="1">
      <alignment horizontal="right"/>
      <protection/>
    </xf>
    <xf numFmtId="164" fontId="14" fillId="0" borderId="0" xfId="0" applyFont="1" applyAlignment="1">
      <alignment horizontal="left"/>
    </xf>
    <xf numFmtId="7" fontId="17" fillId="0" borderId="0" xfId="0" applyNumberFormat="1" applyFont="1" applyAlignment="1" applyProtection="1">
      <alignment/>
      <protection locked="0"/>
    </xf>
    <xf numFmtId="164" fontId="17" fillId="0" borderId="0" xfId="0" applyFont="1" applyAlignment="1" applyProtection="1">
      <alignment horizontal="left"/>
      <protection locked="0"/>
    </xf>
    <xf numFmtId="164" fontId="14" fillId="0" borderId="0" xfId="0" applyFont="1" applyAlignment="1">
      <alignment horizontal="right"/>
    </xf>
    <xf numFmtId="8" fontId="17" fillId="0" borderId="0" xfId="0" applyNumberFormat="1" applyFont="1" applyAlignment="1" applyProtection="1">
      <alignment/>
      <protection locked="0"/>
    </xf>
    <xf numFmtId="164" fontId="14" fillId="0" borderId="14" xfId="0" applyFont="1" applyBorder="1" applyAlignment="1">
      <alignment horizontal="left"/>
    </xf>
    <xf numFmtId="164" fontId="14" fillId="0" borderId="14" xfId="0" applyFont="1" applyBorder="1" applyAlignment="1">
      <alignment/>
    </xf>
    <xf numFmtId="164" fontId="14" fillId="0" borderId="0" xfId="0" applyFont="1" applyBorder="1" applyAlignment="1">
      <alignment/>
    </xf>
    <xf numFmtId="8" fontId="17" fillId="0" borderId="0" xfId="0" applyNumberFormat="1" applyFont="1" applyBorder="1" applyAlignment="1" applyProtection="1">
      <alignment/>
      <protection locked="0"/>
    </xf>
    <xf numFmtId="164" fontId="14" fillId="0" borderId="15" xfId="0" applyFont="1" applyBorder="1" applyAlignment="1">
      <alignment/>
    </xf>
    <xf numFmtId="8" fontId="17" fillId="0" borderId="16" xfId="0" applyNumberFormat="1" applyFont="1" applyBorder="1" applyAlignment="1" applyProtection="1">
      <alignment/>
      <protection locked="0"/>
    </xf>
    <xf numFmtId="164" fontId="14" fillId="0" borderId="0" xfId="0" applyFont="1" applyBorder="1" applyAlignment="1">
      <alignment horizontal="left"/>
    </xf>
    <xf numFmtId="7" fontId="14" fillId="0" borderId="0" xfId="0" applyNumberFormat="1" applyFont="1" applyAlignment="1" applyProtection="1">
      <alignment/>
      <protection/>
    </xf>
    <xf numFmtId="10" fontId="14" fillId="0" borderId="0" xfId="0" applyNumberFormat="1" applyFont="1" applyAlignment="1" applyProtection="1">
      <alignment/>
      <protection/>
    </xf>
    <xf numFmtId="164" fontId="22" fillId="0" borderId="0" xfId="0" applyFont="1" applyAlignment="1">
      <alignment horizontal="left"/>
    </xf>
    <xf numFmtId="164" fontId="22" fillId="0" borderId="0" xfId="0" applyFont="1" applyAlignment="1">
      <alignment/>
    </xf>
    <xf numFmtId="5" fontId="14" fillId="0" borderId="0" xfId="0" applyNumberFormat="1" applyFont="1" applyAlignment="1" applyProtection="1">
      <alignment/>
      <protection/>
    </xf>
    <xf numFmtId="164" fontId="20" fillId="0" borderId="0" xfId="0" applyFont="1" applyAlignment="1">
      <alignment horizontal="center"/>
    </xf>
    <xf numFmtId="164" fontId="20" fillId="0" borderId="14" xfId="0" applyFont="1" applyBorder="1" applyAlignment="1">
      <alignment horizontal="left"/>
    </xf>
    <xf numFmtId="164" fontId="20" fillId="0" borderId="14" xfId="0" applyFont="1" applyBorder="1" applyAlignment="1">
      <alignment horizontal="center"/>
    </xf>
    <xf numFmtId="5" fontId="23" fillId="0" borderId="0" xfId="0" applyNumberFormat="1" applyFont="1" applyAlignment="1" applyProtection="1">
      <alignment horizontal="center"/>
      <protection locked="0"/>
    </xf>
    <xf numFmtId="10"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164" fontId="24" fillId="0" borderId="0" xfId="0" applyFont="1" applyAlignment="1">
      <alignment horizontal="left"/>
    </xf>
    <xf numFmtId="5" fontId="25" fillId="0" borderId="0" xfId="0" applyNumberFormat="1" applyFont="1" applyAlignment="1" applyProtection="1">
      <alignment horizontal="center"/>
      <protection locked="0"/>
    </xf>
    <xf numFmtId="10" fontId="25" fillId="0" borderId="0" xfId="88" applyNumberFormat="1" applyFont="1" applyAlignment="1" applyProtection="1">
      <alignment horizontal="center"/>
      <protection locked="0"/>
    </xf>
    <xf numFmtId="164" fontId="20" fillId="0" borderId="0" xfId="0" applyFont="1" applyBorder="1" applyAlignment="1">
      <alignment horizontal="center"/>
    </xf>
    <xf numFmtId="164" fontId="24" fillId="0" borderId="0" xfId="0" applyFont="1" applyAlignment="1">
      <alignment horizontal="center"/>
    </xf>
    <xf numFmtId="164" fontId="15" fillId="0" borderId="0" xfId="0" applyFont="1" applyAlignment="1">
      <alignment/>
    </xf>
    <xf numFmtId="5" fontId="6" fillId="0" borderId="0" xfId="0" applyNumberFormat="1" applyFont="1" applyAlignment="1" applyProtection="1">
      <alignment/>
      <protection/>
    </xf>
    <xf numFmtId="5" fontId="5" fillId="0" borderId="0" xfId="0" applyNumberFormat="1" applyFont="1" applyAlignment="1" applyProtection="1">
      <alignment/>
      <protection/>
    </xf>
    <xf numFmtId="164" fontId="14" fillId="0" borderId="17" xfId="0" applyFont="1" applyBorder="1" applyAlignment="1">
      <alignment/>
    </xf>
    <xf numFmtId="164" fontId="14" fillId="0" borderId="3" xfId="0" applyFont="1" applyBorder="1" applyAlignment="1">
      <alignment horizontal="left"/>
    </xf>
    <xf numFmtId="164" fontId="14" fillId="0" borderId="3" xfId="0" applyFont="1" applyBorder="1" applyAlignment="1">
      <alignment/>
    </xf>
    <xf numFmtId="164" fontId="14" fillId="0" borderId="18" xfId="0" applyFont="1" applyBorder="1" applyAlignment="1">
      <alignment/>
    </xf>
    <xf numFmtId="167" fontId="4" fillId="0" borderId="0" xfId="0" applyNumberFormat="1" applyFont="1" applyAlignment="1">
      <alignment horizontal="left"/>
    </xf>
    <xf numFmtId="164" fontId="14" fillId="0" borderId="19" xfId="0" applyFont="1" applyBorder="1" applyAlignment="1">
      <alignment/>
    </xf>
    <xf numFmtId="164" fontId="14" fillId="0" borderId="4" xfId="0" applyFont="1" applyBorder="1" applyAlignment="1">
      <alignment/>
    </xf>
    <xf numFmtId="0" fontId="14" fillId="0" borderId="20" xfId="0" applyNumberFormat="1" applyFont="1" applyBorder="1" applyAlignment="1">
      <alignment horizontal="left"/>
    </xf>
    <xf numFmtId="7" fontId="17" fillId="0" borderId="3" xfId="0" applyNumberFormat="1" applyFont="1" applyBorder="1" applyAlignment="1" applyProtection="1">
      <alignment/>
      <protection/>
    </xf>
    <xf numFmtId="3" fontId="7" fillId="0" borderId="0" xfId="0" applyNumberFormat="1" applyFont="1" applyAlignment="1">
      <alignment horizontal="center"/>
    </xf>
    <xf numFmtId="164" fontId="0" fillId="0" borderId="21" xfId="0" applyBorder="1" applyAlignment="1">
      <alignment horizontal="center"/>
    </xf>
    <xf numFmtId="164" fontId="0" fillId="0" borderId="22" xfId="0" applyBorder="1" applyAlignment="1">
      <alignment horizontal="center"/>
    </xf>
    <xf numFmtId="167" fontId="0" fillId="0" borderId="21" xfId="0" applyNumberFormat="1" applyBorder="1" applyAlignment="1">
      <alignment/>
    </xf>
    <xf numFmtId="168" fontId="0" fillId="0" borderId="22" xfId="0" applyNumberFormat="1" applyBorder="1" applyAlignment="1">
      <alignment/>
    </xf>
    <xf numFmtId="167" fontId="0" fillId="0" borderId="21" xfId="0" applyNumberFormat="1" applyFill="1" applyBorder="1" applyAlignment="1">
      <alignment/>
    </xf>
    <xf numFmtId="167" fontId="0" fillId="0" borderId="23" xfId="0" applyNumberFormat="1" applyBorder="1" applyAlignment="1">
      <alignment/>
    </xf>
    <xf numFmtId="168" fontId="0" fillId="0" borderId="24" xfId="0" applyNumberFormat="1" applyBorder="1" applyAlignment="1">
      <alignment/>
    </xf>
    <xf numFmtId="7" fontId="4" fillId="0" borderId="0" xfId="0" applyNumberFormat="1" applyFont="1" applyBorder="1" applyAlignment="1" applyProtection="1">
      <alignment/>
      <protection/>
    </xf>
    <xf numFmtId="164" fontId="43" fillId="0" borderId="0" xfId="0" applyFont="1" applyAlignment="1">
      <alignment horizontal="left"/>
    </xf>
    <xf numFmtId="2" fontId="4" fillId="0" borderId="0" xfId="0" applyNumberFormat="1" applyFont="1" applyAlignment="1">
      <alignment/>
    </xf>
    <xf numFmtId="176" fontId="4" fillId="0" borderId="0" xfId="0" applyNumberFormat="1" applyFont="1" applyAlignment="1">
      <alignment/>
    </xf>
    <xf numFmtId="164" fontId="8" fillId="0" borderId="0" xfId="0" applyFont="1" applyBorder="1" applyAlignment="1">
      <alignment horizontal="left"/>
    </xf>
    <xf numFmtId="0" fontId="4" fillId="0" borderId="0" xfId="0" applyNumberFormat="1" applyFont="1" applyBorder="1" applyAlignment="1">
      <alignment horizontal="center"/>
    </xf>
    <xf numFmtId="10" fontId="7" fillId="0" borderId="0" xfId="88" applyNumberFormat="1" applyFont="1" applyAlignment="1">
      <alignment horizontal="center"/>
    </xf>
    <xf numFmtId="5" fontId="7" fillId="0" borderId="0" xfId="0" applyNumberFormat="1" applyFont="1" applyAlignment="1">
      <alignment horizontal="center"/>
    </xf>
    <xf numFmtId="164" fontId="44" fillId="0" borderId="0" xfId="0" applyFont="1" applyAlignment="1">
      <alignment/>
    </xf>
    <xf numFmtId="164" fontId="24" fillId="0" borderId="0" xfId="80" applyFont="1" applyAlignment="1">
      <alignment horizontal="left"/>
      <protection/>
    </xf>
    <xf numFmtId="164" fontId="20" fillId="0" borderId="0" xfId="80" applyFont="1">
      <alignment/>
      <protection/>
    </xf>
    <xf numFmtId="3" fontId="7" fillId="0" borderId="0" xfId="80" applyNumberFormat="1" applyFont="1" applyBorder="1" applyAlignment="1">
      <alignment horizontal="center"/>
      <protection/>
    </xf>
    <xf numFmtId="3" fontId="20" fillId="0" borderId="0" xfId="80" applyNumberFormat="1" applyFont="1" applyAlignment="1">
      <alignment horizontal="center"/>
      <protection/>
    </xf>
    <xf numFmtId="10" fontId="7" fillId="0" borderId="0" xfId="80" applyNumberFormat="1" applyFont="1" applyAlignment="1">
      <alignment horizontal="center"/>
      <protection/>
    </xf>
    <xf numFmtId="164" fontId="7" fillId="0" borderId="0" xfId="80" applyFont="1" applyBorder="1">
      <alignment/>
      <protection/>
    </xf>
    <xf numFmtId="164" fontId="20" fillId="0" borderId="0" xfId="80" applyFont="1" applyAlignment="1">
      <alignment horizontal="left"/>
      <protection/>
    </xf>
    <xf numFmtId="164" fontId="20" fillId="0" borderId="0" xfId="80" applyFont="1" applyBorder="1">
      <alignment/>
      <protection/>
    </xf>
    <xf numFmtId="3" fontId="20" fillId="0" borderId="0" xfId="80" applyNumberFormat="1" applyFont="1" applyBorder="1" applyAlignment="1">
      <alignment horizontal="center"/>
      <protection/>
    </xf>
    <xf numFmtId="10" fontId="7" fillId="0" borderId="0" xfId="80" applyNumberFormat="1" applyFont="1" applyBorder="1" applyAlignment="1">
      <alignment horizontal="center"/>
      <protection/>
    </xf>
    <xf numFmtId="5" fontId="7" fillId="0" borderId="0" xfId="80" applyNumberFormat="1" applyFont="1" applyAlignment="1">
      <alignment horizontal="center"/>
      <protection/>
    </xf>
    <xf numFmtId="164" fontId="7" fillId="0" borderId="0" xfId="80" applyFont="1" applyAlignment="1">
      <alignment horizontal="center"/>
      <protection/>
    </xf>
    <xf numFmtId="164" fontId="7" fillId="0" borderId="0" xfId="80" applyFont="1" applyAlignment="1">
      <alignment horizontal="left"/>
      <protection/>
    </xf>
    <xf numFmtId="164" fontId="7" fillId="0" borderId="0" xfId="80" applyFont="1">
      <alignment/>
      <protection/>
    </xf>
    <xf numFmtId="10" fontId="7" fillId="0" borderId="0" xfId="80" applyNumberFormat="1" applyFont="1" applyAlignment="1" applyProtection="1">
      <alignment horizontal="center"/>
      <protection/>
    </xf>
    <xf numFmtId="5" fontId="7" fillId="0" borderId="0" xfId="80" applyNumberFormat="1" applyFont="1" applyAlignment="1" applyProtection="1">
      <alignment horizontal="center"/>
      <protection/>
    </xf>
    <xf numFmtId="164" fontId="20" fillId="0" borderId="0" xfId="80" applyFont="1" applyAlignment="1">
      <alignment horizontal="center"/>
      <protection/>
    </xf>
    <xf numFmtId="6" fontId="7" fillId="0" borderId="0" xfId="50" applyNumberFormat="1" applyFont="1" applyAlignment="1">
      <alignment horizontal="center"/>
    </xf>
    <xf numFmtId="164" fontId="7" fillId="0" borderId="0" xfId="0" applyFont="1" applyBorder="1" applyAlignment="1">
      <alignment/>
    </xf>
    <xf numFmtId="164" fontId="20" fillId="0" borderId="0" xfId="0" applyFont="1" applyBorder="1" applyAlignment="1">
      <alignment horizontal="left"/>
    </xf>
    <xf numFmtId="164" fontId="20" fillId="0" borderId="0" xfId="0" applyFont="1" applyBorder="1" applyAlignment="1">
      <alignment horizontal="center" vertical="center"/>
    </xf>
    <xf numFmtId="5" fontId="7" fillId="0" borderId="0" xfId="0" applyNumberFormat="1" applyFont="1" applyAlignment="1">
      <alignment horizontal="center" vertical="center"/>
    </xf>
    <xf numFmtId="8" fontId="20" fillId="0" borderId="0" xfId="50" applyFont="1" applyAlignment="1">
      <alignment/>
    </xf>
    <xf numFmtId="10" fontId="20" fillId="0" borderId="0" xfId="88" applyNumberFormat="1" applyFont="1" applyAlignment="1">
      <alignment/>
    </xf>
    <xf numFmtId="164" fontId="7" fillId="0" borderId="0" xfId="0" applyFont="1" applyAlignment="1">
      <alignment horizontal="center" vertical="center"/>
    </xf>
    <xf numFmtId="10" fontId="7" fillId="0" borderId="0" xfId="88" applyNumberFormat="1" applyFont="1" applyBorder="1" applyAlignment="1">
      <alignment horizontal="center"/>
    </xf>
    <xf numFmtId="164" fontId="20" fillId="0" borderId="0" xfId="0" applyFont="1" applyBorder="1" applyAlignment="1">
      <alignment/>
    </xf>
    <xf numFmtId="5" fontId="7" fillId="0" borderId="0" xfId="0" applyNumberFormat="1" applyFont="1" applyBorder="1" applyAlignment="1">
      <alignment horizontal="center"/>
    </xf>
    <xf numFmtId="164" fontId="7" fillId="0" borderId="0" xfId="0"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Border="1" applyAlignment="1">
      <alignment horizontal="center"/>
    </xf>
    <xf numFmtId="3" fontId="7" fillId="0" borderId="0" xfId="0" applyNumberFormat="1" applyFont="1" applyBorder="1" applyAlignment="1">
      <alignment horizontal="center" vertical="center"/>
    </xf>
    <xf numFmtId="164" fontId="24" fillId="0" borderId="0" xfId="0" applyFont="1" applyAlignment="1" applyProtection="1">
      <alignment horizontal="center"/>
      <protection/>
    </xf>
    <xf numFmtId="164" fontId="7" fillId="0" borderId="0" xfId="0" applyFont="1" applyAlignment="1" applyProtection="1">
      <alignment/>
      <protection/>
    </xf>
    <xf numFmtId="164" fontId="20" fillId="0" borderId="0" xfId="0" applyFont="1" applyAlignment="1" applyProtection="1">
      <alignment horizontal="center"/>
      <protection/>
    </xf>
    <xf numFmtId="164" fontId="23" fillId="0" borderId="0" xfId="0" applyFont="1" applyAlignment="1" applyProtection="1">
      <alignment/>
      <protection locked="0"/>
    </xf>
    <xf numFmtId="5" fontId="23" fillId="0" borderId="0" xfId="0" applyNumberFormat="1" applyFont="1" applyBorder="1" applyAlignment="1" applyProtection="1">
      <alignment horizontal="center"/>
      <protection locked="0"/>
    </xf>
    <xf numFmtId="9" fontId="7" fillId="0" borderId="0" xfId="0" applyNumberFormat="1" applyFont="1" applyAlignment="1">
      <alignment horizontal="center"/>
    </xf>
    <xf numFmtId="166" fontId="7" fillId="0" borderId="0" xfId="88" applyNumberFormat="1" applyFont="1" applyBorder="1" applyAlignment="1" applyProtection="1">
      <alignment horizontal="center"/>
      <protection/>
    </xf>
    <xf numFmtId="164" fontId="0" fillId="0" borderId="21" xfId="0" applyBorder="1" applyAlignment="1">
      <alignment/>
    </xf>
    <xf numFmtId="164" fontId="0" fillId="0" borderId="22" xfId="0" applyBorder="1" applyAlignment="1">
      <alignment/>
    </xf>
    <xf numFmtId="164" fontId="0" fillId="0" borderId="23" xfId="0" applyBorder="1" applyAlignment="1">
      <alignment/>
    </xf>
    <xf numFmtId="164" fontId="0" fillId="0" borderId="24" xfId="0" applyBorder="1" applyAlignment="1">
      <alignment/>
    </xf>
    <xf numFmtId="8" fontId="0" fillId="0" borderId="22" xfId="50" applyFont="1" applyBorder="1" applyAlignment="1">
      <alignment/>
    </xf>
    <xf numFmtId="164" fontId="0" fillId="0" borderId="25" xfId="0" applyBorder="1" applyAlignment="1">
      <alignment horizontal="center"/>
    </xf>
    <xf numFmtId="164" fontId="0" fillId="0" borderId="0" xfId="0" applyBorder="1" applyAlignment="1">
      <alignment horizontal="center"/>
    </xf>
    <xf numFmtId="179" fontId="9" fillId="0" borderId="14" xfId="0" applyNumberFormat="1" applyFont="1" applyBorder="1" applyAlignment="1" applyProtection="1">
      <alignment/>
      <protection locked="0"/>
    </xf>
    <xf numFmtId="174" fontId="17" fillId="0" borderId="0" xfId="0" applyNumberFormat="1" applyFont="1" applyAlignment="1" applyProtection="1">
      <alignment horizontal="center"/>
      <protection locked="0"/>
    </xf>
    <xf numFmtId="10" fontId="14" fillId="0" borderId="0" xfId="0" applyNumberFormat="1" applyFont="1" applyAlignment="1">
      <alignment/>
    </xf>
    <xf numFmtId="180" fontId="4" fillId="0" borderId="0" xfId="0" applyNumberFormat="1" applyFont="1" applyAlignment="1">
      <alignment/>
    </xf>
    <xf numFmtId="183" fontId="14" fillId="0" borderId="0" xfId="50" applyNumberFormat="1" applyFont="1" applyAlignment="1">
      <alignment/>
    </xf>
    <xf numFmtId="10" fontId="14" fillId="0" borderId="0" xfId="50" applyNumberFormat="1" applyFont="1" applyAlignment="1">
      <alignment/>
    </xf>
    <xf numFmtId="9" fontId="14" fillId="0" borderId="0" xfId="88" applyFont="1" applyAlignment="1">
      <alignment/>
    </xf>
    <xf numFmtId="10" fontId="14" fillId="0" borderId="0" xfId="88" applyNumberFormat="1" applyFont="1" applyAlignment="1">
      <alignment/>
    </xf>
    <xf numFmtId="183" fontId="14" fillId="0" borderId="0" xfId="88" applyNumberFormat="1" applyFont="1" applyAlignment="1">
      <alignment/>
    </xf>
    <xf numFmtId="164" fontId="8" fillId="0" borderId="14" xfId="0" applyFont="1" applyBorder="1" applyAlignment="1">
      <alignment/>
    </xf>
    <xf numFmtId="164" fontId="19" fillId="0" borderId="0" xfId="0" applyFont="1" applyAlignment="1">
      <alignment horizontal="center"/>
    </xf>
    <xf numFmtId="164" fontId="46" fillId="0" borderId="0" xfId="0" applyFont="1" applyAlignment="1">
      <alignment horizontal="center"/>
    </xf>
    <xf numFmtId="8" fontId="14" fillId="0" borderId="0" xfId="50" applyFont="1" applyAlignment="1">
      <alignment/>
    </xf>
    <xf numFmtId="8" fontId="14" fillId="0" borderId="0" xfId="50" applyFont="1" applyAlignment="1" applyProtection="1">
      <alignment/>
      <protection/>
    </xf>
    <xf numFmtId="164" fontId="24" fillId="0" borderId="0" xfId="0" applyFont="1" applyAlignment="1">
      <alignment/>
    </xf>
    <xf numFmtId="8" fontId="7" fillId="0" borderId="0" xfId="50" applyFont="1" applyAlignment="1">
      <alignment/>
    </xf>
    <xf numFmtId="164" fontId="10" fillId="0" borderId="0" xfId="0" applyFont="1" applyAlignment="1">
      <alignment/>
    </xf>
    <xf numFmtId="164" fontId="7" fillId="0" borderId="0" xfId="0" applyFont="1" applyBorder="1" applyAlignment="1">
      <alignment horizontal="left"/>
    </xf>
    <xf numFmtId="164" fontId="7" fillId="0" borderId="0" xfId="0" applyFont="1" applyBorder="1" applyAlignment="1">
      <alignment horizontal="center"/>
    </xf>
    <xf numFmtId="164" fontId="24" fillId="0" borderId="0" xfId="0" applyFont="1" applyBorder="1" applyAlignment="1" applyProtection="1">
      <alignment horizontal="center"/>
      <protection/>
    </xf>
    <xf numFmtId="164" fontId="20" fillId="0" borderId="0" xfId="0" applyFont="1" applyBorder="1" applyAlignment="1" applyProtection="1">
      <alignment horizontal="center"/>
      <protection/>
    </xf>
    <xf numFmtId="5" fontId="45" fillId="0" borderId="0" xfId="0" applyNumberFormat="1" applyFont="1" applyBorder="1" applyAlignment="1" applyProtection="1">
      <alignment horizontal="center"/>
      <protection locked="0"/>
    </xf>
    <xf numFmtId="164" fontId="10" fillId="0" borderId="0" xfId="0" applyFont="1" applyAlignment="1">
      <alignment horizontal="center"/>
    </xf>
    <xf numFmtId="164" fontId="47" fillId="0" borderId="0" xfId="0" applyFont="1" applyAlignment="1">
      <alignment horizontal="left"/>
    </xf>
    <xf numFmtId="164" fontId="16" fillId="0" borderId="0" xfId="0" applyFont="1" applyAlignment="1">
      <alignment horizontal="left"/>
    </xf>
    <xf numFmtId="164" fontId="16" fillId="0" borderId="0" xfId="0" applyFont="1" applyAlignment="1">
      <alignment horizontal="center"/>
    </xf>
    <xf numFmtId="8" fontId="16" fillId="0" borderId="0" xfId="50" applyFont="1" applyAlignment="1">
      <alignment/>
    </xf>
    <xf numFmtId="9" fontId="16" fillId="0" borderId="0" xfId="88" applyFont="1" applyAlignment="1">
      <alignment horizontal="center"/>
    </xf>
    <xf numFmtId="9" fontId="7" fillId="0" borderId="0" xfId="88" applyFont="1" applyAlignment="1" applyProtection="1">
      <alignment horizontal="center"/>
      <protection/>
    </xf>
    <xf numFmtId="4" fontId="5" fillId="0" borderId="0" xfId="47" applyFont="1" applyAlignment="1">
      <alignment/>
    </xf>
    <xf numFmtId="4" fontId="7" fillId="0" borderId="0" xfId="47" applyFont="1" applyAlignment="1">
      <alignment/>
    </xf>
    <xf numFmtId="187" fontId="7" fillId="0" borderId="0" xfId="47" applyNumberFormat="1" applyFont="1" applyAlignment="1">
      <alignment/>
    </xf>
    <xf numFmtId="4" fontId="7" fillId="0" borderId="0" xfId="47" applyNumberFormat="1" applyFont="1" applyAlignment="1">
      <alignment/>
    </xf>
    <xf numFmtId="7" fontId="7" fillId="0" borderId="0" xfId="0" applyNumberFormat="1" applyFont="1" applyAlignment="1" applyProtection="1">
      <alignment horizontal="center"/>
      <protection/>
    </xf>
    <xf numFmtId="189" fontId="7" fillId="0" borderId="0" xfId="47" applyNumberFormat="1" applyFont="1" applyAlignment="1">
      <alignment/>
    </xf>
    <xf numFmtId="4" fontId="23" fillId="0" borderId="0" xfId="47" applyFont="1" applyAlignment="1" applyProtection="1">
      <alignment horizontal="center"/>
      <protection locked="0"/>
    </xf>
    <xf numFmtId="189" fontId="5" fillId="0" borderId="0" xfId="47" applyNumberFormat="1" applyFont="1" applyAlignment="1">
      <alignment/>
    </xf>
    <xf numFmtId="3" fontId="7" fillId="0" borderId="0" xfId="47" applyNumberFormat="1" applyFont="1" applyAlignment="1">
      <alignment/>
    </xf>
    <xf numFmtId="3" fontId="4" fillId="0" borderId="0" xfId="47" applyNumberFormat="1" applyFont="1" applyAlignment="1">
      <alignment/>
    </xf>
    <xf numFmtId="4" fontId="24" fillId="0" borderId="0" xfId="47" applyFont="1" applyAlignment="1">
      <alignment horizontal="left"/>
    </xf>
    <xf numFmtId="4" fontId="25" fillId="0" borderId="0" xfId="47" applyNumberFormat="1" applyFont="1" applyAlignment="1" applyProtection="1">
      <alignment horizontal="center"/>
      <protection locked="0"/>
    </xf>
    <xf numFmtId="9" fontId="4" fillId="0" borderId="0" xfId="88" applyFont="1" applyAlignment="1">
      <alignment/>
    </xf>
    <xf numFmtId="164" fontId="4" fillId="0" borderId="0" xfId="0" applyFont="1" applyAlignment="1">
      <alignment/>
    </xf>
    <xf numFmtId="164" fontId="48" fillId="0" borderId="0" xfId="0" applyFont="1" applyBorder="1" applyAlignment="1">
      <alignment horizontal="center"/>
    </xf>
    <xf numFmtId="5" fontId="6" fillId="0" borderId="0" xfId="0" applyNumberFormat="1" applyFont="1" applyAlignment="1" applyProtection="1">
      <alignment horizontal="center"/>
      <protection locked="0"/>
    </xf>
    <xf numFmtId="10" fontId="5" fillId="0" borderId="0" xfId="0" applyNumberFormat="1" applyFont="1" applyAlignment="1" applyProtection="1">
      <alignment horizontal="center"/>
      <protection/>
    </xf>
    <xf numFmtId="164" fontId="19" fillId="0" borderId="0" xfId="0" applyFont="1" applyAlignment="1">
      <alignment horizontal="left"/>
    </xf>
    <xf numFmtId="5" fontId="5" fillId="0" borderId="0" xfId="0" applyNumberFormat="1" applyFont="1" applyAlignment="1" applyProtection="1">
      <alignment horizontal="center"/>
      <protection/>
    </xf>
    <xf numFmtId="164" fontId="49" fillId="0" borderId="0" xfId="0" applyFont="1" applyAlignment="1">
      <alignment/>
    </xf>
    <xf numFmtId="5" fontId="50" fillId="0" borderId="0" xfId="0" applyNumberFormat="1" applyFont="1" applyAlignment="1" applyProtection="1">
      <alignment horizontal="center"/>
      <protection locked="0"/>
    </xf>
    <xf numFmtId="10" fontId="50" fillId="0" borderId="0" xfId="88" applyNumberFormat="1" applyFont="1" applyAlignment="1" applyProtection="1">
      <alignment horizontal="center"/>
      <protection locked="0"/>
    </xf>
    <xf numFmtId="164" fontId="4" fillId="0" borderId="0" xfId="0" applyFont="1" applyAlignment="1">
      <alignment horizontal="left"/>
    </xf>
    <xf numFmtId="5" fontId="5" fillId="0" borderId="0" xfId="0" applyNumberFormat="1" applyFont="1" applyAlignment="1" applyProtection="1">
      <alignment horizontal="center" vertical="center"/>
      <protection/>
    </xf>
    <xf numFmtId="5" fontId="5" fillId="0" borderId="0" xfId="0" applyNumberFormat="1" applyFont="1" applyAlignment="1">
      <alignment horizontal="center"/>
    </xf>
    <xf numFmtId="7" fontId="90" fillId="0" borderId="0" xfId="0" applyNumberFormat="1" applyFont="1" applyAlignment="1" applyProtection="1">
      <alignment/>
      <protection/>
    </xf>
    <xf numFmtId="164" fontId="48" fillId="0" borderId="0" xfId="0" applyFont="1" applyAlignment="1">
      <alignment horizontal="center"/>
    </xf>
    <xf numFmtId="164" fontId="4" fillId="0" borderId="0" xfId="0" applyFont="1" applyAlignment="1">
      <alignment horizontal="center"/>
    </xf>
    <xf numFmtId="7" fontId="91" fillId="0" borderId="0" xfId="0" applyNumberFormat="1" applyFont="1" applyBorder="1" applyAlignment="1" applyProtection="1">
      <alignment/>
      <protection/>
    </xf>
    <xf numFmtId="7" fontId="91" fillId="0" borderId="0" xfId="0" applyNumberFormat="1" applyFont="1" applyAlignment="1" applyProtection="1">
      <alignment/>
      <protection/>
    </xf>
    <xf numFmtId="164" fontId="0" fillId="0" borderId="26" xfId="0" applyBorder="1" applyAlignment="1">
      <alignment horizontal="center"/>
    </xf>
    <xf numFmtId="4" fontId="0" fillId="0" borderId="0" xfId="47" applyFont="1" applyAlignment="1">
      <alignment/>
    </xf>
    <xf numFmtId="164" fontId="0" fillId="0" borderId="27" xfId="0" applyBorder="1" applyAlignment="1">
      <alignment/>
    </xf>
    <xf numFmtId="164" fontId="0" fillId="0" borderId="28" xfId="0" applyBorder="1" applyAlignment="1">
      <alignment/>
    </xf>
    <xf numFmtId="164" fontId="0" fillId="0" borderId="0" xfId="0" applyBorder="1" applyAlignment="1">
      <alignment/>
    </xf>
    <xf numFmtId="164" fontId="0" fillId="0" borderId="29" xfId="0" applyBorder="1" applyAlignment="1">
      <alignment/>
    </xf>
    <xf numFmtId="3" fontId="0" fillId="0" borderId="0" xfId="47" applyNumberFormat="1" applyFont="1" applyAlignment="1">
      <alignment/>
    </xf>
    <xf numFmtId="164" fontId="7" fillId="0" borderId="30" xfId="0" applyFont="1" applyBorder="1" applyAlignment="1">
      <alignment horizontal="left"/>
    </xf>
    <xf numFmtId="3" fontId="0" fillId="0" borderId="26" xfId="47" applyNumberFormat="1" applyFont="1" applyBorder="1" applyAlignment="1">
      <alignment/>
    </xf>
    <xf numFmtId="166" fontId="0" fillId="0" borderId="25" xfId="88" applyNumberFormat="1" applyFont="1" applyBorder="1" applyAlignment="1">
      <alignment/>
    </xf>
    <xf numFmtId="3" fontId="0" fillId="0" borderId="25" xfId="47" applyNumberFormat="1" applyFont="1" applyBorder="1" applyAlignment="1">
      <alignment/>
    </xf>
    <xf numFmtId="166" fontId="0" fillId="0" borderId="31" xfId="88" applyNumberFormat="1" applyFont="1" applyBorder="1" applyAlignment="1">
      <alignment/>
    </xf>
    <xf numFmtId="3" fontId="0" fillId="0" borderId="0" xfId="47" applyNumberFormat="1" applyFont="1" applyBorder="1" applyAlignment="1">
      <alignment/>
    </xf>
    <xf numFmtId="164" fontId="7" fillId="0" borderId="32" xfId="0" applyFont="1" applyBorder="1" applyAlignment="1">
      <alignment horizontal="left"/>
    </xf>
    <xf numFmtId="3" fontId="0" fillId="0" borderId="21" xfId="47" applyNumberFormat="1" applyFont="1" applyBorder="1" applyAlignment="1">
      <alignment/>
    </xf>
    <xf numFmtId="166" fontId="0" fillId="0" borderId="0" xfId="88" applyNumberFormat="1" applyFont="1" applyBorder="1" applyAlignment="1">
      <alignment/>
    </xf>
    <xf numFmtId="166" fontId="0" fillId="0" borderId="22" xfId="88" applyNumberFormat="1" applyFont="1" applyBorder="1" applyAlignment="1">
      <alignment/>
    </xf>
    <xf numFmtId="166" fontId="0" fillId="0" borderId="33" xfId="88" applyNumberFormat="1" applyFont="1" applyBorder="1" applyAlignment="1">
      <alignment/>
    </xf>
    <xf numFmtId="164" fontId="7" fillId="0" borderId="34" xfId="0" applyFont="1" applyBorder="1" applyAlignment="1">
      <alignment horizontal="left"/>
    </xf>
    <xf numFmtId="3" fontId="0" fillId="0" borderId="23" xfId="47" applyNumberFormat="1" applyFont="1" applyBorder="1" applyAlignment="1">
      <alignment/>
    </xf>
    <xf numFmtId="166" fontId="0" fillId="0" borderId="14" xfId="88" applyNumberFormat="1" applyFont="1" applyBorder="1" applyAlignment="1">
      <alignment/>
    </xf>
    <xf numFmtId="166" fontId="0" fillId="0" borderId="24" xfId="88" applyNumberFormat="1" applyFont="1" applyBorder="1" applyAlignment="1">
      <alignment/>
    </xf>
    <xf numFmtId="166" fontId="0" fillId="0" borderId="35" xfId="88" applyNumberFormat="1" applyFont="1" applyBorder="1" applyAlignment="1">
      <alignment/>
    </xf>
    <xf numFmtId="164" fontId="0" fillId="0" borderId="33" xfId="0" applyBorder="1" applyAlignment="1">
      <alignment/>
    </xf>
    <xf numFmtId="164" fontId="0" fillId="0" borderId="14" xfId="0" applyBorder="1" applyAlignment="1">
      <alignment/>
    </xf>
    <xf numFmtId="3" fontId="0" fillId="0" borderId="14" xfId="47" applyNumberFormat="1" applyFont="1" applyBorder="1" applyAlignment="1">
      <alignment/>
    </xf>
    <xf numFmtId="164" fontId="0" fillId="0" borderId="36" xfId="0" applyBorder="1" applyAlignment="1">
      <alignment horizontal="center"/>
    </xf>
    <xf numFmtId="164" fontId="0" fillId="0" borderId="23" xfId="0" applyBorder="1" applyAlignment="1">
      <alignment horizontal="center"/>
    </xf>
    <xf numFmtId="187" fontId="0" fillId="0" borderId="0" xfId="47" applyNumberFormat="1" applyFont="1" applyAlignment="1">
      <alignment/>
    </xf>
    <xf numFmtId="4" fontId="0" fillId="0" borderId="0" xfId="47" applyFont="1" applyBorder="1" applyAlignment="1">
      <alignment/>
    </xf>
    <xf numFmtId="3" fontId="0" fillId="0" borderId="37" xfId="47" applyNumberFormat="1" applyFont="1" applyBorder="1" applyAlignment="1">
      <alignment/>
    </xf>
    <xf numFmtId="166" fontId="0" fillId="0" borderId="8" xfId="88" applyNumberFormat="1" applyFont="1" applyBorder="1" applyAlignment="1">
      <alignment/>
    </xf>
    <xf numFmtId="164" fontId="0" fillId="0" borderId="8" xfId="0" applyBorder="1" applyAlignment="1">
      <alignment/>
    </xf>
    <xf numFmtId="3" fontId="0" fillId="0" borderId="8" xfId="47" applyNumberFormat="1" applyFont="1" applyBorder="1" applyAlignment="1">
      <alignment/>
    </xf>
    <xf numFmtId="9" fontId="0" fillId="0" borderId="8" xfId="88" applyFont="1" applyBorder="1" applyAlignment="1">
      <alignment/>
    </xf>
    <xf numFmtId="166" fontId="0" fillId="0" borderId="38" xfId="88" applyNumberFormat="1" applyFont="1" applyBorder="1" applyAlignment="1">
      <alignment/>
    </xf>
    <xf numFmtId="4" fontId="0" fillId="0" borderId="8" xfId="47" applyFont="1" applyBorder="1" applyAlignment="1">
      <alignment/>
    </xf>
    <xf numFmtId="166" fontId="0" fillId="0" borderId="39" xfId="88" applyNumberFormat="1" applyFont="1" applyBorder="1" applyAlignment="1">
      <alignment/>
    </xf>
    <xf numFmtId="164" fontId="0" fillId="0" borderId="30" xfId="0" applyBorder="1" applyAlignment="1">
      <alignment/>
    </xf>
    <xf numFmtId="164" fontId="0" fillId="0" borderId="32" xfId="0" applyBorder="1" applyAlignment="1">
      <alignment horizontal="center"/>
    </xf>
    <xf numFmtId="164" fontId="0" fillId="0" borderId="32" xfId="0" applyBorder="1" applyAlignment="1">
      <alignment/>
    </xf>
    <xf numFmtId="164" fontId="0" fillId="0" borderId="34" xfId="0" applyBorder="1" applyAlignment="1">
      <alignment/>
    </xf>
    <xf numFmtId="164" fontId="0" fillId="0" borderId="40" xfId="0" applyBorder="1" applyAlignment="1">
      <alignment/>
    </xf>
    <xf numFmtId="164" fontId="0" fillId="0" borderId="31" xfId="0" applyBorder="1" applyAlignment="1">
      <alignment horizontal="center" wrapText="1"/>
    </xf>
    <xf numFmtId="41" fontId="0" fillId="0" borderId="21" xfId="47" applyNumberFormat="1" applyFont="1" applyBorder="1" applyAlignment="1">
      <alignment/>
    </xf>
    <xf numFmtId="41" fontId="0" fillId="0" borderId="23" xfId="47" applyNumberFormat="1" applyFont="1" applyBorder="1" applyAlignment="1">
      <alignment/>
    </xf>
    <xf numFmtId="166" fontId="0" fillId="0" borderId="25" xfId="88" applyNumberFormat="1" applyFont="1" applyBorder="1" applyAlignment="1">
      <alignment horizontal="right"/>
    </xf>
    <xf numFmtId="9" fontId="0" fillId="0" borderId="0" xfId="88" applyFont="1" applyBorder="1" applyAlignment="1">
      <alignment/>
    </xf>
    <xf numFmtId="5" fontId="0" fillId="0" borderId="21" xfId="47" applyNumberFormat="1" applyFont="1" applyBorder="1" applyAlignment="1">
      <alignment/>
    </xf>
    <xf numFmtId="164" fontId="0" fillId="0" borderId="19" xfId="0" applyBorder="1" applyAlignment="1">
      <alignment horizontal="center"/>
    </xf>
    <xf numFmtId="164" fontId="0" fillId="0" borderId="4" xfId="0" applyBorder="1" applyAlignment="1">
      <alignment horizontal="center"/>
    </xf>
    <xf numFmtId="164" fontId="0" fillId="0" borderId="20" xfId="0" applyBorder="1" applyAlignment="1">
      <alignment horizontal="center" wrapText="1"/>
    </xf>
    <xf numFmtId="164" fontId="0" fillId="0" borderId="31" xfId="0" applyBorder="1" applyAlignment="1">
      <alignment horizontal="center"/>
    </xf>
    <xf numFmtId="5" fontId="0" fillId="0" borderId="26" xfId="47" applyNumberFormat="1" applyFont="1" applyBorder="1" applyAlignment="1">
      <alignment/>
    </xf>
    <xf numFmtId="5" fontId="0" fillId="0" borderId="23" xfId="47" applyNumberFormat="1" applyFont="1" applyBorder="1" applyAlignment="1">
      <alignment/>
    </xf>
    <xf numFmtId="164" fontId="0" fillId="0" borderId="29" xfId="0" applyBorder="1" applyAlignment="1">
      <alignment horizontal="center"/>
    </xf>
    <xf numFmtId="164" fontId="0" fillId="0" borderId="31" xfId="0" applyBorder="1" applyAlignment="1">
      <alignment/>
    </xf>
    <xf numFmtId="164" fontId="0" fillId="0" borderId="24" xfId="0" applyBorder="1" applyAlignment="1">
      <alignment horizontal="center"/>
    </xf>
    <xf numFmtId="4" fontId="14" fillId="0" borderId="0" xfId="47" applyFont="1" applyAlignment="1">
      <alignment/>
    </xf>
    <xf numFmtId="182" fontId="14" fillId="0" borderId="0" xfId="88" applyNumberFormat="1" applyFont="1" applyAlignment="1">
      <alignment/>
    </xf>
    <xf numFmtId="191" fontId="14" fillId="0" borderId="0" xfId="47" applyNumberFormat="1" applyFont="1" applyAlignment="1">
      <alignment/>
    </xf>
    <xf numFmtId="164" fontId="0" fillId="0" borderId="14" xfId="0" applyBorder="1" applyAlignment="1">
      <alignment horizontal="center"/>
    </xf>
    <xf numFmtId="164" fontId="0" fillId="0" borderId="4" xfId="0" applyBorder="1" applyAlignment="1">
      <alignment horizontal="center" wrapText="1"/>
    </xf>
    <xf numFmtId="164" fontId="0" fillId="0" borderId="41" xfId="0" applyBorder="1" applyAlignment="1">
      <alignment/>
    </xf>
    <xf numFmtId="166" fontId="0" fillId="0" borderId="0" xfId="88" applyNumberFormat="1" applyFont="1" applyBorder="1" applyAlignment="1">
      <alignment horizontal="center"/>
    </xf>
    <xf numFmtId="8" fontId="17" fillId="0" borderId="14" xfId="0" applyNumberFormat="1" applyFont="1" applyBorder="1" applyAlignment="1" applyProtection="1">
      <alignment/>
      <protection locked="0"/>
    </xf>
    <xf numFmtId="164" fontId="14" fillId="0" borderId="16" xfId="0" applyFont="1" applyBorder="1" applyAlignment="1">
      <alignment horizontal="left"/>
    </xf>
    <xf numFmtId="164" fontId="14" fillId="0" borderId="16" xfId="0" applyFont="1" applyBorder="1" applyAlignment="1">
      <alignment/>
    </xf>
    <xf numFmtId="8" fontId="14" fillId="0" borderId="0" xfId="50" applyFont="1" applyBorder="1" applyAlignment="1">
      <alignment horizontal="right"/>
    </xf>
    <xf numFmtId="4" fontId="14" fillId="0" borderId="0" xfId="47" applyFont="1" applyBorder="1" applyAlignment="1">
      <alignment horizontal="left"/>
    </xf>
    <xf numFmtId="164" fontId="0" fillId="0" borderId="25" xfId="0" applyBorder="1" applyAlignment="1">
      <alignment horizontal="center" wrapText="1"/>
    </xf>
    <xf numFmtId="164" fontId="0" fillId="0" borderId="0" xfId="0" applyBorder="1" applyAlignment="1">
      <alignment horizontal="center" wrapText="1"/>
    </xf>
    <xf numFmtId="164" fontId="0" fillId="0" borderId="42" xfId="0" applyBorder="1" applyAlignment="1">
      <alignment horizontal="center" wrapText="1"/>
    </xf>
    <xf numFmtId="164" fontId="7" fillId="0" borderId="40" xfId="0" applyFont="1" applyBorder="1" applyAlignment="1">
      <alignment horizontal="left"/>
    </xf>
    <xf numFmtId="164" fontId="0" fillId="0" borderId="43" xfId="0" applyBorder="1" applyAlignment="1">
      <alignment/>
    </xf>
    <xf numFmtId="164" fontId="0" fillId="0" borderId="44" xfId="0" applyBorder="1" applyAlignment="1">
      <alignment/>
    </xf>
    <xf numFmtId="164" fontId="0" fillId="0" borderId="45" xfId="0" applyBorder="1" applyAlignment="1">
      <alignment/>
    </xf>
    <xf numFmtId="8" fontId="90" fillId="0" borderId="0" xfId="0" applyNumberFormat="1" applyFont="1" applyBorder="1" applyAlignment="1" applyProtection="1">
      <alignment/>
      <protection locked="0"/>
    </xf>
    <xf numFmtId="4" fontId="4" fillId="0" borderId="0" xfId="47" applyFont="1" applyAlignment="1">
      <alignment/>
    </xf>
    <xf numFmtId="164" fontId="0" fillId="0" borderId="46" xfId="0" applyBorder="1" applyAlignment="1">
      <alignment horizontal="center"/>
    </xf>
    <xf numFmtId="164" fontId="0" fillId="0" borderId="38" xfId="0" applyBorder="1" applyAlignment="1">
      <alignment/>
    </xf>
    <xf numFmtId="166" fontId="0" fillId="0" borderId="14" xfId="88" applyNumberFormat="1" applyFont="1" applyBorder="1" applyAlignment="1">
      <alignment horizontal="center"/>
    </xf>
    <xf numFmtId="4" fontId="0" fillId="0" borderId="14" xfId="47" applyFont="1" applyBorder="1" applyAlignment="1">
      <alignment/>
    </xf>
    <xf numFmtId="164" fontId="0" fillId="0" borderId="47" xfId="0" applyBorder="1" applyAlignment="1">
      <alignment/>
    </xf>
    <xf numFmtId="164" fontId="0" fillId="0" borderId="48" xfId="0" applyBorder="1" applyAlignment="1">
      <alignment/>
    </xf>
    <xf numFmtId="3" fontId="0" fillId="0" borderId="0" xfId="47" applyNumberFormat="1" applyFont="1" applyBorder="1" applyAlignment="1">
      <alignment horizontal="center"/>
    </xf>
    <xf numFmtId="41" fontId="0" fillId="0" borderId="0" xfId="47" applyNumberFormat="1" applyFont="1" applyBorder="1" applyAlignment="1">
      <alignment/>
    </xf>
    <xf numFmtId="41" fontId="0" fillId="0" borderId="14" xfId="47" applyNumberFormat="1" applyFont="1" applyBorder="1" applyAlignment="1">
      <alignment/>
    </xf>
    <xf numFmtId="8" fontId="7" fillId="0" borderId="0" xfId="50" applyFont="1" applyAlignment="1">
      <alignment horizontal="center"/>
    </xf>
    <xf numFmtId="9" fontId="7" fillId="0" borderId="0" xfId="88" applyFont="1" applyAlignment="1">
      <alignment horizontal="center"/>
    </xf>
    <xf numFmtId="10" fontId="20" fillId="0" borderId="0" xfId="0" applyNumberFormat="1" applyFont="1" applyAlignment="1" applyProtection="1">
      <alignment horizontal="center"/>
      <protection/>
    </xf>
    <xf numFmtId="5" fontId="20" fillId="0" borderId="0" xfId="0" applyNumberFormat="1" applyFont="1" applyAlignment="1">
      <alignment horizontal="center"/>
    </xf>
    <xf numFmtId="164" fontId="20" fillId="0" borderId="0" xfId="0" applyFont="1" applyAlignment="1">
      <alignment horizontal="right"/>
    </xf>
    <xf numFmtId="3" fontId="0" fillId="0" borderId="14" xfId="47" applyNumberFormat="1" applyFont="1" applyBorder="1" applyAlignment="1">
      <alignment horizontal="center"/>
    </xf>
    <xf numFmtId="49" fontId="4" fillId="0" borderId="0" xfId="0" applyNumberFormat="1" applyFont="1" applyAlignment="1">
      <alignment/>
    </xf>
    <xf numFmtId="164" fontId="4" fillId="0" borderId="0" xfId="0" applyFont="1" applyAlignment="1">
      <alignment vertical="center"/>
    </xf>
    <xf numFmtId="5" fontId="0" fillId="0" borderId="0" xfId="47" applyNumberFormat="1" applyFont="1" applyBorder="1" applyAlignment="1">
      <alignment/>
    </xf>
    <xf numFmtId="190" fontId="14" fillId="0" borderId="0" xfId="47" applyNumberFormat="1" applyFont="1" applyAlignment="1">
      <alignment/>
    </xf>
    <xf numFmtId="8" fontId="90" fillId="0" borderId="0" xfId="47" applyNumberFormat="1" applyFont="1" applyAlignment="1">
      <alignment/>
    </xf>
    <xf numFmtId="3" fontId="7" fillId="0" borderId="0" xfId="47" applyNumberFormat="1" applyFont="1" applyAlignment="1">
      <alignment horizontal="center"/>
    </xf>
    <xf numFmtId="166" fontId="7" fillId="0" borderId="0" xfId="88" applyNumberFormat="1" applyFont="1" applyAlignment="1">
      <alignment/>
    </xf>
    <xf numFmtId="0" fontId="5" fillId="0" borderId="0" xfId="0" applyNumberFormat="1" applyFont="1" applyAlignment="1">
      <alignment/>
    </xf>
    <xf numFmtId="164" fontId="0" fillId="0" borderId="49" xfId="0" applyBorder="1" applyAlignment="1">
      <alignment/>
    </xf>
    <xf numFmtId="3" fontId="5" fillId="0" borderId="0" xfId="47" applyNumberFormat="1" applyFont="1" applyAlignment="1">
      <alignment/>
    </xf>
    <xf numFmtId="0" fontId="25" fillId="0" borderId="0" xfId="88" applyNumberFormat="1" applyFont="1" applyAlignment="1" applyProtection="1">
      <alignment horizontal="center"/>
      <protection locked="0"/>
    </xf>
    <xf numFmtId="49" fontId="10" fillId="0" borderId="0" xfId="0" applyNumberFormat="1" applyFont="1" applyAlignment="1">
      <alignment horizontal="center"/>
    </xf>
    <xf numFmtId="164" fontId="0" fillId="0" borderId="8" xfId="0" applyBorder="1" applyAlignment="1">
      <alignment horizontal="center" wrapText="1"/>
    </xf>
    <xf numFmtId="164" fontId="0" fillId="0" borderId="37" xfId="0" applyBorder="1" applyAlignment="1">
      <alignment horizontal="center"/>
    </xf>
    <xf numFmtId="164" fontId="0" fillId="0" borderId="8" xfId="0" applyBorder="1" applyAlignment="1">
      <alignment horizontal="center"/>
    </xf>
    <xf numFmtId="164" fontId="0" fillId="0" borderId="39" xfId="0" applyBorder="1" applyAlignment="1">
      <alignment horizontal="center" wrapText="1"/>
    </xf>
    <xf numFmtId="164" fontId="4" fillId="0" borderId="0" xfId="0" applyFont="1" applyAlignment="1" quotePrefix="1">
      <alignment horizontal="left"/>
    </xf>
    <xf numFmtId="8" fontId="4" fillId="0" borderId="0" xfId="50" applyFont="1" applyAlignment="1" applyProtection="1">
      <alignment horizontal="right"/>
      <protection/>
    </xf>
    <xf numFmtId="4" fontId="14" fillId="0" borderId="0" xfId="47" applyFont="1" applyAlignment="1" applyProtection="1">
      <alignment/>
      <protection/>
    </xf>
    <xf numFmtId="5" fontId="0" fillId="0" borderId="14" xfId="47" applyNumberFormat="1" applyFont="1" applyBorder="1" applyAlignment="1">
      <alignment/>
    </xf>
    <xf numFmtId="164" fontId="51" fillId="0" borderId="41" xfId="0" applyFont="1" applyBorder="1" applyAlignment="1">
      <alignment horizontal="center"/>
    </xf>
    <xf numFmtId="164" fontId="51" fillId="0" borderId="50" xfId="0" applyFont="1" applyBorder="1" applyAlignment="1">
      <alignment horizontal="center"/>
    </xf>
    <xf numFmtId="164" fontId="1" fillId="0" borderId="26" xfId="0" applyFont="1" applyBorder="1" applyAlignment="1">
      <alignment horizontal="center"/>
    </xf>
    <xf numFmtId="164" fontId="1" fillId="0" borderId="25" xfId="0" applyFont="1" applyBorder="1" applyAlignment="1">
      <alignment horizontal="center"/>
    </xf>
    <xf numFmtId="164" fontId="1" fillId="0" borderId="31" xfId="0" applyFont="1" applyBorder="1" applyAlignment="1">
      <alignment horizontal="center"/>
    </xf>
    <xf numFmtId="164" fontId="1" fillId="0" borderId="51" xfId="0" applyFont="1" applyBorder="1" applyAlignment="1">
      <alignment horizontal="center"/>
    </xf>
    <xf numFmtId="164" fontId="1" fillId="0" borderId="52" xfId="0" applyFont="1" applyBorder="1" applyAlignment="1">
      <alignment horizontal="center"/>
    </xf>
    <xf numFmtId="164" fontId="1" fillId="0" borderId="41" xfId="0" applyFont="1" applyBorder="1" applyAlignment="1">
      <alignment horizontal="center"/>
    </xf>
    <xf numFmtId="164" fontId="1" fillId="0" borderId="53" xfId="0" applyFont="1" applyBorder="1" applyAlignment="1">
      <alignment horizontal="center"/>
    </xf>
    <xf numFmtId="164" fontId="1" fillId="0" borderId="54" xfId="0" applyFont="1" applyBorder="1" applyAlignment="1">
      <alignment horizontal="center"/>
    </xf>
    <xf numFmtId="164" fontId="1" fillId="0" borderId="55" xfId="0" applyFont="1" applyBorder="1" applyAlignment="1">
      <alignment horizontal="center"/>
    </xf>
    <xf numFmtId="164" fontId="1" fillId="0" borderId="56" xfId="0" applyFont="1" applyBorder="1" applyAlignment="1">
      <alignment horizontal="center"/>
    </xf>
    <xf numFmtId="164" fontId="1" fillId="0" borderId="27" xfId="0" applyFont="1" applyBorder="1" applyAlignment="1">
      <alignment horizontal="center"/>
    </xf>
    <xf numFmtId="164" fontId="51" fillId="0" borderId="57" xfId="0" applyFont="1" applyBorder="1" applyAlignment="1">
      <alignment horizontal="center"/>
    </xf>
    <xf numFmtId="164" fontId="1" fillId="0" borderId="21" xfId="0" applyFont="1" applyBorder="1" applyAlignment="1">
      <alignment horizontal="center"/>
    </xf>
    <xf numFmtId="164" fontId="1" fillId="0" borderId="0" xfId="0" applyFont="1" applyBorder="1" applyAlignment="1">
      <alignment horizontal="center"/>
    </xf>
    <xf numFmtId="164" fontId="1" fillId="0" borderId="33" xfId="0" applyFont="1" applyBorder="1" applyAlignment="1">
      <alignment horizontal="center"/>
    </xf>
    <xf numFmtId="164" fontId="1" fillId="0" borderId="14" xfId="0" applyFont="1" applyBorder="1" applyAlignment="1">
      <alignment horizontal="center"/>
    </xf>
    <xf numFmtId="174" fontId="10" fillId="0" borderId="0" xfId="0" applyNumberFormat="1" applyFont="1" applyAlignment="1">
      <alignment horizontal="center"/>
    </xf>
    <xf numFmtId="164" fontId="10" fillId="0" borderId="0" xfId="0" applyFont="1" applyAlignment="1">
      <alignment horizontal="center"/>
    </xf>
    <xf numFmtId="7" fontId="12" fillId="0" borderId="0" xfId="0" applyNumberFormat="1" applyFont="1" applyAlignment="1" applyProtection="1">
      <alignment horizontal="center"/>
      <protection/>
    </xf>
    <xf numFmtId="164" fontId="0" fillId="0" borderId="26" xfId="0" applyBorder="1" applyAlignment="1">
      <alignment horizontal="center"/>
    </xf>
    <xf numFmtId="164" fontId="0" fillId="0" borderId="31" xfId="0" applyBorder="1" applyAlignment="1">
      <alignment horizontal="center"/>
    </xf>
    <xf numFmtId="164" fontId="0" fillId="0" borderId="21" xfId="0" applyBorder="1" applyAlignment="1">
      <alignment horizontal="center"/>
    </xf>
    <xf numFmtId="164" fontId="0" fillId="0" borderId="22" xfId="0" applyBorder="1" applyAlignment="1">
      <alignment horizontal="center"/>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gs.style" xfId="39"/>
    <cellStyle name="args.style 2" xfId="40"/>
    <cellStyle name="args.style 3" xfId="41"/>
    <cellStyle name="Bad" xfId="42"/>
    <cellStyle name="Body" xfId="43"/>
    <cellStyle name="Calc Currency (0)" xfId="44"/>
    <cellStyle name="Calculation" xfId="45"/>
    <cellStyle name="Check Cell" xfId="46"/>
    <cellStyle name="Comma" xfId="47"/>
    <cellStyle name="Comma [0]" xfId="48"/>
    <cellStyle name="Copied" xfId="49"/>
    <cellStyle name="Currency" xfId="50"/>
    <cellStyle name="Currency [0]" xfId="51"/>
    <cellStyle name="Entered" xfId="52"/>
    <cellStyle name="Explanatory Text" xfId="53"/>
    <cellStyle name="Followed Hyperlink" xfId="54"/>
    <cellStyle name="Good" xfId="55"/>
    <cellStyle name="Grey" xfId="56"/>
    <cellStyle name="Head 1" xfId="57"/>
    <cellStyle name="header" xfId="58"/>
    <cellStyle name="Header1" xfId="59"/>
    <cellStyle name="Header2" xfId="60"/>
    <cellStyle name="Heading 1" xfId="61"/>
    <cellStyle name="Heading 2" xfId="62"/>
    <cellStyle name="Heading 3" xfId="63"/>
    <cellStyle name="Heading 4" xfId="64"/>
    <cellStyle name="HEADINGS" xfId="65"/>
    <cellStyle name="HEADINGSTOP" xfId="66"/>
    <cellStyle name="Hyperlink" xfId="67"/>
    <cellStyle name="Input" xfId="68"/>
    <cellStyle name="Input [yellow]" xfId="69"/>
    <cellStyle name="Linked Cell" xfId="70"/>
    <cellStyle name="Milliers [0]_!!!GO" xfId="71"/>
    <cellStyle name="Milliers_!!!GO" xfId="72"/>
    <cellStyle name="mine" xfId="73"/>
    <cellStyle name="mine 2" xfId="74"/>
    <cellStyle name="mine 3" xfId="75"/>
    <cellStyle name="Monétaire [0]_!!!GO" xfId="76"/>
    <cellStyle name="Monétaire_!!!GO" xfId="77"/>
    <cellStyle name="Neutral" xfId="78"/>
    <cellStyle name="Normal - Style1" xfId="79"/>
    <cellStyle name="Normal_GRT96" xfId="80"/>
    <cellStyle name="Note" xfId="81"/>
    <cellStyle name="Œ…‹æØ‚è [0.00]_!!!GO" xfId="82"/>
    <cellStyle name="Œ…‹æØ‚è_!!!GO" xfId="83"/>
    <cellStyle name="Output" xfId="84"/>
    <cellStyle name="per.style" xfId="85"/>
    <cellStyle name="per.style 2" xfId="86"/>
    <cellStyle name="per.style 3" xfId="87"/>
    <cellStyle name="Percent" xfId="88"/>
    <cellStyle name="Percent [2]" xfId="89"/>
    <cellStyle name="regstoresfromspecstores" xfId="90"/>
    <cellStyle name="RevList" xfId="91"/>
    <cellStyle name="SHADEDSTORES" xfId="92"/>
    <cellStyle name="specstores" xfId="93"/>
    <cellStyle name="Subtotal"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24025"/>
          <c:w val="0.978"/>
          <c:h val="0.75425"/>
        </c:manualLayout>
      </c:layout>
      <c:barChart>
        <c:barDir val="col"/>
        <c:grouping val="clustered"/>
        <c:varyColors val="0"/>
        <c:ser>
          <c:idx val="0"/>
          <c:order val="0"/>
          <c:tx>
            <c:strRef>
              <c:f>'Graph Data'!$C$5</c:f>
              <c:strCache>
                <c:ptCount val="1"/>
                <c:pt idx="0">
                  <c:v>FY17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Data'!$C$6:$C$17</c:f>
              <c:numCache>
                <c:ptCount val="12"/>
                <c:pt idx="0">
                  <c:v>13882548</c:v>
                </c:pt>
                <c:pt idx="1">
                  <c:v>12888503</c:v>
                </c:pt>
                <c:pt idx="2">
                  <c:v>13053024</c:v>
                </c:pt>
                <c:pt idx="3">
                  <c:v>15488216</c:v>
                </c:pt>
                <c:pt idx="4">
                  <c:v>11099537</c:v>
                </c:pt>
                <c:pt idx="5">
                  <c:v>12527445</c:v>
                </c:pt>
                <c:pt idx="6">
                  <c:v>14997820</c:v>
                </c:pt>
                <c:pt idx="7">
                  <c:v>12284131</c:v>
                </c:pt>
                <c:pt idx="8">
                  <c:v>11973148</c:v>
                </c:pt>
                <c:pt idx="9">
                  <c:v>13569945</c:v>
                </c:pt>
                <c:pt idx="10">
                  <c:v>12534933</c:v>
                </c:pt>
                <c:pt idx="11">
                  <c:v>13230001</c:v>
                </c:pt>
              </c:numCache>
            </c:numRef>
          </c:val>
        </c:ser>
        <c:ser>
          <c:idx val="2"/>
          <c:order val="1"/>
          <c:tx>
            <c:strRef>
              <c:f>'Graph Data'!$D$5</c:f>
              <c:strCache>
                <c:ptCount val="1"/>
                <c:pt idx="0">
                  <c:v>FY18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Data'!$D$6:$D$17</c:f>
              <c:numCache>
                <c:ptCount val="12"/>
                <c:pt idx="0">
                  <c:v>14696105</c:v>
                </c:pt>
                <c:pt idx="1">
                  <c:v>13036420</c:v>
                </c:pt>
                <c:pt idx="2">
                  <c:v>12790301</c:v>
                </c:pt>
                <c:pt idx="3">
                  <c:v>13498915</c:v>
                </c:pt>
                <c:pt idx="4">
                  <c:v>12996235</c:v>
                </c:pt>
                <c:pt idx="5">
                  <c:v>12913125</c:v>
                </c:pt>
                <c:pt idx="6">
                  <c:v>14865527</c:v>
                </c:pt>
                <c:pt idx="7">
                  <c:v>12722330</c:v>
                </c:pt>
                <c:pt idx="8">
                  <c:v>12042342</c:v>
                </c:pt>
                <c:pt idx="9">
                  <c:v>14459515</c:v>
                </c:pt>
                <c:pt idx="10">
                  <c:v>13224392</c:v>
                </c:pt>
                <c:pt idx="11">
                  <c:v>16716542</c:v>
                </c:pt>
              </c:numCache>
            </c:numRef>
          </c:val>
        </c:ser>
        <c:ser>
          <c:idx val="1"/>
          <c:order val="2"/>
          <c:tx>
            <c:strRef>
              <c:f>'Graph Data'!$E$5</c:f>
              <c:strCache>
                <c:ptCount val="1"/>
                <c:pt idx="0">
                  <c:v>FY19</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Data'!$E$6:$E$17</c:f>
              <c:numCache>
                <c:ptCount val="12"/>
                <c:pt idx="0">
                  <c:v>14532204</c:v>
                </c:pt>
                <c:pt idx="1">
                  <c:v>13521840</c:v>
                </c:pt>
                <c:pt idx="2">
                  <c:v>13968963</c:v>
                </c:pt>
                <c:pt idx="3">
                  <c:v>13208737</c:v>
                </c:pt>
                <c:pt idx="4">
                  <c:v>13811017</c:v>
                </c:pt>
                <c:pt idx="5">
                  <c:v>13142111</c:v>
                </c:pt>
                <c:pt idx="6">
                  <c:v>15078110</c:v>
                </c:pt>
                <c:pt idx="7">
                  <c:v>13098897</c:v>
                </c:pt>
                <c:pt idx="8">
                  <c:v>12733277</c:v>
                </c:pt>
                <c:pt idx="9">
                  <c:v>14371942</c:v>
                </c:pt>
                <c:pt idx="10">
                  <c:v>13922537</c:v>
                </c:pt>
                <c:pt idx="11">
                  <c:v>13886139.52</c:v>
                </c:pt>
              </c:numCache>
            </c:numRef>
          </c:val>
        </c:ser>
        <c:axId val="23329568"/>
        <c:axId val="28507553"/>
      </c:barChart>
      <c:catAx>
        <c:axId val="23329568"/>
        <c:scaling>
          <c:orientation val="minMax"/>
        </c:scaling>
        <c:axPos val="b"/>
        <c:delete val="0"/>
        <c:numFmt formatCode="General" sourceLinked="1"/>
        <c:majorTickMark val="cross"/>
        <c:minorTickMark val="none"/>
        <c:tickLblPos val="nextTo"/>
        <c:spPr>
          <a:ln w="3175">
            <a:solidFill>
              <a:srgbClr val="000000"/>
            </a:solidFill>
          </a:ln>
        </c:spPr>
        <c:crossAx val="28507553"/>
        <c:crosses val="autoZero"/>
        <c:auto val="0"/>
        <c:lblOffset val="100"/>
        <c:tickLblSkip val="1"/>
        <c:noMultiLvlLbl val="0"/>
      </c:catAx>
      <c:valAx>
        <c:axId val="28507553"/>
        <c:scaling>
          <c:orientation val="minMax"/>
          <c:max val="17000000"/>
          <c:min val="1000000"/>
        </c:scaling>
        <c:axPos val="l"/>
        <c:delete val="0"/>
        <c:numFmt formatCode="General" sourceLinked="1"/>
        <c:majorTickMark val="cross"/>
        <c:minorTickMark val="none"/>
        <c:tickLblPos val="nextTo"/>
        <c:spPr>
          <a:ln w="3175">
            <a:solidFill>
              <a:srgbClr val="000000"/>
            </a:solidFill>
          </a:ln>
        </c:spPr>
        <c:crossAx val="23329568"/>
        <c:crossesAt val="1"/>
        <c:crossBetween val="between"/>
        <c:dispUnits/>
      </c:valAx>
      <c:spPr>
        <a:solidFill>
          <a:srgbClr val="FFFFFF"/>
        </a:solidFill>
        <a:ln w="3175">
          <a:noFill/>
        </a:ln>
      </c:spPr>
    </c:plotArea>
    <c:legend>
      <c:legendPos val="b"/>
      <c:layout>
        <c:manualLayout>
          <c:xMode val="edge"/>
          <c:yMode val="edge"/>
          <c:x val="0.418"/>
          <c:y val="0.17825"/>
          <c:w val="0.27175"/>
          <c:h val="0.0672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2565"/>
          <c:w val="0.991"/>
          <c:h val="0.703"/>
        </c:manualLayout>
      </c:layout>
      <c:barChart>
        <c:barDir val="col"/>
        <c:grouping val="clustered"/>
        <c:varyColors val="0"/>
        <c:ser>
          <c:idx val="0"/>
          <c:order val="0"/>
          <c:tx>
            <c:strRef>
              <c:f>'Graph Data'!$C$5</c:f>
              <c:strCache>
                <c:ptCount val="1"/>
                <c:pt idx="0">
                  <c:v>FY17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Data'!$C$6:$C$17</c:f>
              <c:numCache>
                <c:ptCount val="12"/>
                <c:pt idx="0">
                  <c:v>13882548</c:v>
                </c:pt>
                <c:pt idx="1">
                  <c:v>12888503</c:v>
                </c:pt>
                <c:pt idx="2">
                  <c:v>13053024</c:v>
                </c:pt>
                <c:pt idx="3">
                  <c:v>15488216</c:v>
                </c:pt>
                <c:pt idx="4">
                  <c:v>11099537</c:v>
                </c:pt>
                <c:pt idx="5">
                  <c:v>12527445</c:v>
                </c:pt>
                <c:pt idx="6">
                  <c:v>14997820</c:v>
                </c:pt>
                <c:pt idx="7">
                  <c:v>12284131</c:v>
                </c:pt>
                <c:pt idx="8">
                  <c:v>11973148</c:v>
                </c:pt>
                <c:pt idx="9">
                  <c:v>13569945</c:v>
                </c:pt>
                <c:pt idx="10">
                  <c:v>12534933</c:v>
                </c:pt>
                <c:pt idx="11">
                  <c:v>13230001</c:v>
                </c:pt>
              </c:numCache>
            </c:numRef>
          </c:val>
        </c:ser>
        <c:ser>
          <c:idx val="2"/>
          <c:order val="1"/>
          <c:tx>
            <c:strRef>
              <c:f>'Graph Data'!$D$5</c:f>
              <c:strCache>
                <c:ptCount val="1"/>
                <c:pt idx="0">
                  <c:v>FY18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Data'!$D$6:$D$17</c:f>
              <c:numCache>
                <c:ptCount val="12"/>
                <c:pt idx="0">
                  <c:v>14696105</c:v>
                </c:pt>
                <c:pt idx="1">
                  <c:v>13036420</c:v>
                </c:pt>
                <c:pt idx="2">
                  <c:v>12790301</c:v>
                </c:pt>
                <c:pt idx="3">
                  <c:v>13498915</c:v>
                </c:pt>
                <c:pt idx="4">
                  <c:v>12996235</c:v>
                </c:pt>
                <c:pt idx="5">
                  <c:v>12913125</c:v>
                </c:pt>
                <c:pt idx="6">
                  <c:v>14865527</c:v>
                </c:pt>
                <c:pt idx="7">
                  <c:v>12722330</c:v>
                </c:pt>
                <c:pt idx="8">
                  <c:v>12042342</c:v>
                </c:pt>
                <c:pt idx="9">
                  <c:v>14459515</c:v>
                </c:pt>
                <c:pt idx="10">
                  <c:v>13224392</c:v>
                </c:pt>
                <c:pt idx="11">
                  <c:v>16716542</c:v>
                </c:pt>
              </c:numCache>
            </c:numRef>
          </c:val>
        </c:ser>
        <c:ser>
          <c:idx val="1"/>
          <c:order val="2"/>
          <c:tx>
            <c:strRef>
              <c:f>'Graph Data'!$E$5</c:f>
              <c:strCache>
                <c:ptCount val="1"/>
                <c:pt idx="0">
                  <c:v>FY19</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Data'!$E$6:$E$17</c:f>
              <c:numCache>
                <c:ptCount val="12"/>
                <c:pt idx="0">
                  <c:v>14532204</c:v>
                </c:pt>
                <c:pt idx="1">
                  <c:v>13521840</c:v>
                </c:pt>
                <c:pt idx="2">
                  <c:v>13968963</c:v>
                </c:pt>
                <c:pt idx="3">
                  <c:v>13208737</c:v>
                </c:pt>
                <c:pt idx="4">
                  <c:v>13811017</c:v>
                </c:pt>
                <c:pt idx="5">
                  <c:v>13142111</c:v>
                </c:pt>
                <c:pt idx="6">
                  <c:v>15078110</c:v>
                </c:pt>
                <c:pt idx="7">
                  <c:v>13098897</c:v>
                </c:pt>
                <c:pt idx="8">
                  <c:v>12733277</c:v>
                </c:pt>
                <c:pt idx="9">
                  <c:v>14371942</c:v>
                </c:pt>
                <c:pt idx="10">
                  <c:v>13922537</c:v>
                </c:pt>
                <c:pt idx="11">
                  <c:v>13886139.52</c:v>
                </c:pt>
              </c:numCache>
            </c:numRef>
          </c:val>
        </c:ser>
        <c:axId val="34505302"/>
        <c:axId val="16841679"/>
      </c:barChart>
      <c:catAx>
        <c:axId val="34505302"/>
        <c:scaling>
          <c:orientation val="minMax"/>
        </c:scaling>
        <c:axPos val="b"/>
        <c:delete val="0"/>
        <c:numFmt formatCode="General" sourceLinked="1"/>
        <c:majorTickMark val="cross"/>
        <c:minorTickMark val="none"/>
        <c:tickLblPos val="nextTo"/>
        <c:spPr>
          <a:ln w="3175">
            <a:solidFill>
              <a:srgbClr val="000000"/>
            </a:solidFill>
          </a:ln>
        </c:spPr>
        <c:crossAx val="16841679"/>
        <c:crosses val="autoZero"/>
        <c:auto val="0"/>
        <c:lblOffset val="100"/>
        <c:tickLblSkip val="1"/>
        <c:noMultiLvlLbl val="0"/>
      </c:catAx>
      <c:valAx>
        <c:axId val="16841679"/>
        <c:scaling>
          <c:orientation val="minMax"/>
          <c:max val="15000000"/>
          <c:min val="1000000"/>
        </c:scaling>
        <c:axPos val="l"/>
        <c:delete val="0"/>
        <c:numFmt formatCode="General" sourceLinked="1"/>
        <c:majorTickMark val="cross"/>
        <c:minorTickMark val="none"/>
        <c:tickLblPos val="nextTo"/>
        <c:spPr>
          <a:ln w="3175">
            <a:solidFill>
              <a:srgbClr val="000000"/>
            </a:solidFill>
          </a:ln>
        </c:spPr>
        <c:crossAx val="34505302"/>
        <c:crossesAt val="1"/>
        <c:crossBetween val="between"/>
        <c:dispUnits/>
      </c:valAx>
      <c:spPr>
        <a:solidFill>
          <a:srgbClr val="FFFFFF"/>
        </a:solidFill>
        <a:ln w="3175">
          <a:noFill/>
        </a:ln>
      </c:spPr>
    </c:plotArea>
    <c:legend>
      <c:legendPos val="r"/>
      <c:layout>
        <c:manualLayout>
          <c:xMode val="edge"/>
          <c:yMode val="edge"/>
          <c:x val="0.436"/>
          <c:y val="0.9575"/>
          <c:w val="0.1515"/>
          <c:h val="0.0377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-0.0055</cdr:y>
    </cdr:from>
    <cdr:to>
      <cdr:x>0.79475</cdr:x>
      <cdr:y>0.17025</cdr:y>
    </cdr:to>
    <cdr:sp>
      <cdr:nvSpPr>
        <cdr:cNvPr id="1" name="Text 1"/>
        <cdr:cNvSpPr txBox="1">
          <a:spLocks noChangeArrowheads="1"/>
        </cdr:cNvSpPr>
      </cdr:nvSpPr>
      <cdr:spPr>
        <a:xfrm>
          <a:off x="1962150" y="-9524"/>
          <a:ext cx="3076575" cy="590550"/>
        </a:xfrm>
        <a:prstGeom prst="rect">
          <a:avLst/>
        </a:prstGeom>
        <a:solidFill>
          <a:srgbClr val="FFFFFF"/>
        </a:solidFill>
        <a:ln w="1" cmpd="sng">
          <a:noFill/>
        </a:ln>
      </cdr:spPr>
      <cdr:txBody>
        <a:bodyPr vertOverflow="clip" wrap="square" lIns="27432" tIns="22860" rIns="27432" bIns="0"/>
        <a:p>
          <a:pPr algn="ctr">
            <a:defRPr/>
          </a:pPr>
          <a:r>
            <a:rPr lang="en-US" cap="none" sz="1000" b="0" i="0" u="none" baseline="0">
              <a:solidFill>
                <a:srgbClr val="000000"/>
              </a:solidFill>
              <a:latin typeface="Geneva"/>
              <a:ea typeface="Geneva"/>
              <a:cs typeface="Geneva"/>
            </a:rPr>
            <a:t>CITY OF ALBUQUERQUE
</a:t>
          </a:r>
          <a:r>
            <a:rPr lang="en-US" cap="none" sz="1000" b="0" i="0" u="none" baseline="0">
              <a:solidFill>
                <a:srgbClr val="000000"/>
              </a:solidFill>
              <a:latin typeface="Geneva"/>
              <a:ea typeface="Geneva"/>
              <a:cs typeface="Geneva"/>
            </a:rPr>
            <a:t>GROSS RECEIPTS 
</a:t>
          </a:r>
          <a:r>
            <a:rPr lang="en-US" cap="none" sz="1000" b="0" i="0" u="none" baseline="0">
              <a:solidFill>
                <a:srgbClr val="000000"/>
              </a:solidFill>
              <a:latin typeface="Geneva"/>
              <a:ea typeface="Geneva"/>
              <a:cs typeface="Geneva"/>
            </a:rPr>
            <a:t>(ONE-PERCENT DISTRIBUTION)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TAX REVENUES
</a:t>
          </a:r>
          <a:r>
            <a:rPr lang="en-US" cap="none" sz="1000" b="0" i="0" u="none" baseline="0">
              <a:solidFill>
                <a:srgbClr val="000000"/>
              </a:solidFill>
              <a:latin typeface="Geneva"/>
              <a:ea typeface="Geneva"/>
              <a:cs typeface="Geneva"/>
            </a:rPr>
            <a:t>Adjusted One-Percent Portion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619125</xdr:colOff>
      <xdr:row>39</xdr:row>
      <xdr:rowOff>19050</xdr:rowOff>
    </xdr:from>
    <xdr:to>
      <xdr:col>27</xdr:col>
      <xdr:colOff>28575</xdr:colOff>
      <xdr:row>58</xdr:row>
      <xdr:rowOff>95250</xdr:rowOff>
    </xdr:to>
    <xdr:graphicFrame>
      <xdr:nvGraphicFramePr>
        <xdr:cNvPr id="1" name="Chart 3"/>
        <xdr:cNvGraphicFramePr/>
      </xdr:nvGraphicFramePr>
      <xdr:xfrm>
        <a:off x="7239000" y="6562725"/>
        <a:ext cx="6343650"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0.3935</cdr:x>
      <cdr:y>0.0135</cdr:y>
    </cdr:from>
    <cdr:to>
      <cdr:x>0.6915</cdr:x>
      <cdr:y>0.17925</cdr:y>
    </cdr:to>
    <cdr:sp>
      <cdr:nvSpPr>
        <cdr:cNvPr id="1" name="Text 1"/>
        <cdr:cNvSpPr txBox="1">
          <a:spLocks noChangeArrowheads="1"/>
        </cdr:cNvSpPr>
      </cdr:nvSpPr>
      <cdr:spPr>
        <a:xfrm>
          <a:off x="3390900" y="76200"/>
          <a:ext cx="2571750" cy="981075"/>
        </a:xfrm>
        <a:prstGeom prst="rect">
          <a:avLst/>
        </a:prstGeom>
        <a:solidFill>
          <a:srgbClr val="FFFFFF"/>
        </a:solidFill>
        <a:ln w="1" cmpd="sng">
          <a:noFill/>
        </a:ln>
      </cdr:spPr>
      <cdr:txBody>
        <a:bodyPr vertOverflow="clip" wrap="square" lIns="27432" tIns="22860" rIns="27432" bIns="0"/>
        <a:p>
          <a:pPr algn="ctr">
            <a:defRPr/>
          </a:pPr>
          <a:r>
            <a:rPr lang="en-US" cap="none" sz="1000" b="0" i="0" u="none" baseline="0">
              <a:solidFill>
                <a:srgbClr val="000000"/>
              </a:solidFill>
              <a:latin typeface="Geneva"/>
              <a:ea typeface="Geneva"/>
              <a:cs typeface="Geneva"/>
            </a:rPr>
            <a:t>CITY OF ALBUQUERQUE
</a:t>
          </a:r>
          <a:r>
            <a:rPr lang="en-US" cap="none" sz="1000" b="0" i="0" u="none" baseline="0">
              <a:solidFill>
                <a:srgbClr val="000000"/>
              </a:solidFill>
              <a:latin typeface="Geneva"/>
              <a:ea typeface="Geneva"/>
              <a:cs typeface="Geneva"/>
            </a:rPr>
            <a:t>GROSS RECEIPTS TAX REVENUES
</a:t>
          </a:r>
          <a:r>
            <a:rPr lang="en-US" cap="none" sz="1000" b="0" i="0" u="none" baseline="0">
              <a:solidFill>
                <a:srgbClr val="000000"/>
              </a:solidFill>
              <a:latin typeface="Geneva"/>
              <a:ea typeface="Geneva"/>
              <a:cs typeface="Geneva"/>
            </a:rPr>
            <a:t>Adjusted One-Percent Portion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50"/>
  <sheetViews>
    <sheetView zoomScale="110" zoomScaleNormal="110" zoomScalePageLayoutView="0" workbookViewId="0" topLeftCell="A1">
      <selection activeCell="I23" sqref="I23"/>
    </sheetView>
  </sheetViews>
  <sheetFormatPr defaultColWidth="9.00390625" defaultRowHeight="15.75" customHeight="1"/>
  <cols>
    <col min="1" max="1" width="10.25390625" style="4" customWidth="1"/>
    <col min="2" max="2" width="11.75390625" style="4" customWidth="1"/>
    <col min="3" max="3" width="11.125" style="4" customWidth="1"/>
    <col min="4" max="4" width="11.75390625" style="4" customWidth="1"/>
    <col min="5" max="5" width="11.375" style="4" customWidth="1"/>
    <col min="6" max="6" width="11.75390625" style="4" customWidth="1"/>
    <col min="7" max="7" width="11.375" style="4" customWidth="1"/>
    <col min="8" max="8" width="10.625" style="4" customWidth="1"/>
    <col min="9" max="9" width="11.25390625" style="4" customWidth="1"/>
    <col min="10" max="16384" width="9.125" style="4" customWidth="1"/>
  </cols>
  <sheetData>
    <row r="1" spans="1:9" ht="15.75" customHeight="1">
      <c r="A1" s="107" t="s">
        <v>173</v>
      </c>
      <c r="B1" s="108"/>
      <c r="C1" s="109"/>
      <c r="D1" s="110"/>
      <c r="E1" s="111"/>
      <c r="F1" s="109"/>
      <c r="G1" s="109"/>
      <c r="H1" s="109"/>
      <c r="I1" s="112"/>
    </row>
    <row r="2" spans="1:9" ht="7.5" customHeight="1">
      <c r="A2" s="113"/>
      <c r="B2" s="114"/>
      <c r="C2" s="109"/>
      <c r="D2" s="115"/>
      <c r="E2" s="116"/>
      <c r="F2" s="109"/>
      <c r="G2" s="109"/>
      <c r="H2" s="109"/>
      <c r="I2" s="112"/>
    </row>
    <row r="3" spans="1:9" ht="15.75" customHeight="1">
      <c r="A3" s="107" t="s">
        <v>23</v>
      </c>
      <c r="B3" s="117"/>
      <c r="C3" s="117"/>
      <c r="D3" s="117"/>
      <c r="E3" s="118"/>
      <c r="F3" s="118"/>
      <c r="G3" s="118"/>
      <c r="H3" s="118"/>
      <c r="I3" s="118"/>
    </row>
    <row r="4" spans="1:9" ht="15.75" customHeight="1">
      <c r="A4" s="67"/>
      <c r="B4" s="67"/>
      <c r="C4" s="67" t="s">
        <v>3</v>
      </c>
      <c r="D4" s="67"/>
      <c r="E4" s="67" t="s">
        <v>3</v>
      </c>
      <c r="F4" s="67"/>
      <c r="G4" s="67" t="s">
        <v>3</v>
      </c>
      <c r="H4" s="67"/>
      <c r="I4" s="67" t="s">
        <v>3</v>
      </c>
    </row>
    <row r="5" spans="1:9" ht="15.75" customHeight="1">
      <c r="A5" s="67"/>
      <c r="B5" s="67"/>
      <c r="C5" s="67" t="s">
        <v>4</v>
      </c>
      <c r="D5" s="67"/>
      <c r="E5" s="67" t="s">
        <v>4</v>
      </c>
      <c r="F5" s="67"/>
      <c r="G5" s="67" t="s">
        <v>4</v>
      </c>
      <c r="H5" s="67"/>
      <c r="I5" s="67" t="s">
        <v>4</v>
      </c>
    </row>
    <row r="6" spans="1:11" ht="15.75" customHeight="1">
      <c r="A6" s="77" t="s">
        <v>5</v>
      </c>
      <c r="B6" s="77" t="s">
        <v>211</v>
      </c>
      <c r="C6" s="77" t="s">
        <v>212</v>
      </c>
      <c r="D6" s="77" t="s">
        <v>217</v>
      </c>
      <c r="E6" s="77" t="s">
        <v>217</v>
      </c>
      <c r="F6" s="77" t="s">
        <v>228</v>
      </c>
      <c r="G6" s="77" t="s">
        <v>229</v>
      </c>
      <c r="H6" s="77" t="s">
        <v>239</v>
      </c>
      <c r="I6" s="77" t="s">
        <v>240</v>
      </c>
      <c r="K6" s="4" t="s">
        <v>264</v>
      </c>
    </row>
    <row r="7" spans="1:14" ht="15.75" customHeight="1">
      <c r="A7" s="119"/>
      <c r="B7" s="118"/>
      <c r="C7" s="118"/>
      <c r="D7" s="118"/>
      <c r="E7" s="118"/>
      <c r="F7" s="118"/>
      <c r="G7" s="118"/>
      <c r="H7" s="118"/>
      <c r="I7" s="118"/>
      <c r="N7" s="120"/>
    </row>
    <row r="8" spans="1:14" ht="15.75" customHeight="1">
      <c r="A8" s="119" t="s">
        <v>6</v>
      </c>
      <c r="B8" s="70">
        <v>86595</v>
      </c>
      <c r="C8" s="121">
        <v>-0.0368</v>
      </c>
      <c r="D8" s="70">
        <v>85975</v>
      </c>
      <c r="E8" s="121">
        <v>-0.0072</v>
      </c>
      <c r="F8" s="70">
        <v>123888.95</v>
      </c>
      <c r="G8" s="121">
        <f>+F8/D8-1</f>
        <v>0.4409880779296307</v>
      </c>
      <c r="H8" s="70">
        <v>124329</v>
      </c>
      <c r="I8" s="121">
        <v>0.0036</v>
      </c>
      <c r="J8" s="190"/>
      <c r="K8" s="190">
        <v>2720.95</v>
      </c>
      <c r="N8" s="120"/>
    </row>
    <row r="9" spans="1:14" ht="16.5" customHeight="1">
      <c r="A9" s="119" t="s">
        <v>7</v>
      </c>
      <c r="B9" s="70">
        <v>70514</v>
      </c>
      <c r="C9" s="121">
        <v>-0.2504</v>
      </c>
      <c r="D9" s="70">
        <v>61610</v>
      </c>
      <c r="E9" s="121">
        <v>-0.1263</v>
      </c>
      <c r="F9" s="70">
        <v>90744.63</v>
      </c>
      <c r="G9" s="121">
        <f aca="true" t="shared" si="0" ref="G9:G19">+F9/D9-1</f>
        <v>0.4728880051939621</v>
      </c>
      <c r="H9" s="70">
        <v>86105</v>
      </c>
      <c r="I9" s="121">
        <v>-0.0511</v>
      </c>
      <c r="J9" s="190"/>
      <c r="K9" s="190">
        <v>3282.63</v>
      </c>
      <c r="N9" s="120"/>
    </row>
    <row r="10" spans="1:14" ht="15.75" customHeight="1">
      <c r="A10" s="119" t="s">
        <v>8</v>
      </c>
      <c r="B10" s="70">
        <v>80583</v>
      </c>
      <c r="C10" s="121">
        <v>-0.1161</v>
      </c>
      <c r="D10" s="70">
        <v>65314</v>
      </c>
      <c r="E10" s="121">
        <v>-0.1895</v>
      </c>
      <c r="F10" s="70">
        <v>89942.39</v>
      </c>
      <c r="G10" s="121">
        <f t="shared" si="0"/>
        <v>0.3770767369936001</v>
      </c>
      <c r="H10" s="70">
        <v>87899</v>
      </c>
      <c r="I10" s="121">
        <v>-0.0227</v>
      </c>
      <c r="J10" s="190"/>
      <c r="K10" s="190">
        <v>3537.39</v>
      </c>
      <c r="N10" s="120"/>
    </row>
    <row r="11" spans="1:14" ht="15.75" customHeight="1">
      <c r="A11" s="119" t="s">
        <v>9</v>
      </c>
      <c r="B11" s="70">
        <v>76797</v>
      </c>
      <c r="C11" s="121">
        <v>0.0352</v>
      </c>
      <c r="D11" s="70">
        <v>77219</v>
      </c>
      <c r="E11" s="121">
        <v>0.0055</v>
      </c>
      <c r="F11" s="70">
        <v>107949.33</v>
      </c>
      <c r="G11" s="121">
        <f t="shared" si="0"/>
        <v>0.39796332508838494</v>
      </c>
      <c r="H11" s="70">
        <v>124675</v>
      </c>
      <c r="I11" s="121">
        <v>0.1549</v>
      </c>
      <c r="J11" s="190"/>
      <c r="K11" s="190">
        <v>4878.33</v>
      </c>
      <c r="N11" s="120"/>
    </row>
    <row r="12" spans="1:14" ht="15.75" customHeight="1">
      <c r="A12" s="119" t="s">
        <v>10</v>
      </c>
      <c r="B12" s="70">
        <v>82413</v>
      </c>
      <c r="C12" s="121">
        <v>-0.0117</v>
      </c>
      <c r="D12" s="70">
        <v>88988</v>
      </c>
      <c r="E12" s="121">
        <v>0.0798</v>
      </c>
      <c r="F12" s="70">
        <v>87560.8</v>
      </c>
      <c r="G12" s="121">
        <f t="shared" si="0"/>
        <v>-0.016038117498988647</v>
      </c>
      <c r="H12" s="70">
        <v>108399</v>
      </c>
      <c r="I12" s="121">
        <v>0.238</v>
      </c>
      <c r="J12" s="190"/>
      <c r="K12" s="190">
        <v>3408.8</v>
      </c>
      <c r="N12" s="120"/>
    </row>
    <row r="13" spans="1:14" ht="15.75" customHeight="1">
      <c r="A13" s="119" t="s">
        <v>11</v>
      </c>
      <c r="B13" s="70">
        <v>77859</v>
      </c>
      <c r="C13" s="121">
        <v>0.1218</v>
      </c>
      <c r="D13" s="70">
        <v>77226</v>
      </c>
      <c r="E13" s="121">
        <v>-0.0081</v>
      </c>
      <c r="F13" s="70">
        <v>91323.48</v>
      </c>
      <c r="G13" s="121">
        <f t="shared" si="0"/>
        <v>0.18254836454043977</v>
      </c>
      <c r="H13" s="70">
        <v>100384</v>
      </c>
      <c r="I13" s="121">
        <v>0.0992</v>
      </c>
      <c r="J13" s="190"/>
      <c r="K13" s="190">
        <v>4599.4800000000005</v>
      </c>
      <c r="N13" s="120"/>
    </row>
    <row r="14" spans="1:14" ht="15.75" customHeight="1">
      <c r="A14" s="119" t="s">
        <v>12</v>
      </c>
      <c r="B14" s="70">
        <v>130518</v>
      </c>
      <c r="C14" s="121">
        <v>0.8822</v>
      </c>
      <c r="D14" s="70">
        <v>83695</v>
      </c>
      <c r="E14" s="121">
        <v>-0.3587</v>
      </c>
      <c r="F14" s="70">
        <v>102617.91</v>
      </c>
      <c r="G14" s="121">
        <f t="shared" si="0"/>
        <v>0.2260936734571959</v>
      </c>
      <c r="H14" s="70">
        <v>76204</v>
      </c>
      <c r="I14" s="121">
        <v>-0.2574</v>
      </c>
      <c r="J14" s="190"/>
      <c r="K14" s="190">
        <v>3981.91</v>
      </c>
      <c r="N14" s="120"/>
    </row>
    <row r="15" spans="1:14" ht="15.75" customHeight="1">
      <c r="A15" s="119" t="s">
        <v>13</v>
      </c>
      <c r="B15" s="70">
        <v>98290</v>
      </c>
      <c r="C15" s="121">
        <v>-0.7102</v>
      </c>
      <c r="D15" s="70">
        <v>73796</v>
      </c>
      <c r="E15" s="121">
        <v>-0.2492</v>
      </c>
      <c r="F15" s="70">
        <v>106998.17</v>
      </c>
      <c r="G15" s="121">
        <f t="shared" si="0"/>
        <v>0.44991828825410596</v>
      </c>
      <c r="H15" s="70">
        <v>120126</v>
      </c>
      <c r="I15" s="121">
        <v>0.1227</v>
      </c>
      <c r="J15" s="190"/>
      <c r="K15" s="190">
        <v>4804.17</v>
      </c>
      <c r="N15" s="120"/>
    </row>
    <row r="16" spans="1:14" ht="15.75" customHeight="1">
      <c r="A16" s="119" t="s">
        <v>14</v>
      </c>
      <c r="B16" s="70">
        <v>86526</v>
      </c>
      <c r="C16" s="121">
        <v>0.0005</v>
      </c>
      <c r="D16" s="70">
        <v>73891</v>
      </c>
      <c r="E16" s="121">
        <v>-0.146</v>
      </c>
      <c r="F16" s="70">
        <v>133660.06</v>
      </c>
      <c r="G16" s="121">
        <f t="shared" si="0"/>
        <v>0.8088814605296992</v>
      </c>
      <c r="H16" s="70">
        <v>119618</v>
      </c>
      <c r="I16" s="121">
        <v>-0.1051</v>
      </c>
      <c r="J16" s="190"/>
      <c r="K16" s="190">
        <v>5822.06</v>
      </c>
      <c r="N16" s="120"/>
    </row>
    <row r="17" spans="1:14" ht="15.75" customHeight="1">
      <c r="A17" s="119" t="s">
        <v>15</v>
      </c>
      <c r="B17" s="70">
        <v>92342</v>
      </c>
      <c r="C17" s="121">
        <v>0.2015</v>
      </c>
      <c r="D17" s="70">
        <v>81365</v>
      </c>
      <c r="E17" s="121">
        <v>-0.1189</v>
      </c>
      <c r="F17" s="70">
        <v>117714.69</v>
      </c>
      <c r="G17" s="121">
        <f t="shared" si="0"/>
        <v>0.44674847907576964</v>
      </c>
      <c r="H17" s="70">
        <v>160973</v>
      </c>
      <c r="I17" s="121">
        <v>0.3675</v>
      </c>
      <c r="J17" s="190"/>
      <c r="K17" s="190">
        <v>4639.69</v>
      </c>
      <c r="N17" s="120"/>
    </row>
    <row r="18" spans="1:14" ht="15.75" customHeight="1">
      <c r="A18" s="119" t="s">
        <v>16</v>
      </c>
      <c r="B18" s="70">
        <v>74321</v>
      </c>
      <c r="C18" s="121">
        <v>-0.1831</v>
      </c>
      <c r="D18" s="70">
        <v>102574</v>
      </c>
      <c r="E18" s="121">
        <v>0.3801</v>
      </c>
      <c r="F18" s="70">
        <v>82784.65</v>
      </c>
      <c r="G18" s="121">
        <f t="shared" si="0"/>
        <v>-0.19292754499190834</v>
      </c>
      <c r="H18" s="70">
        <v>82943</v>
      </c>
      <c r="I18" s="121">
        <v>0.0019</v>
      </c>
      <c r="J18" s="190"/>
      <c r="K18" s="190">
        <v>4154.65</v>
      </c>
      <c r="N18" s="120"/>
    </row>
    <row r="19" spans="1:14" ht="15.75" customHeight="1">
      <c r="A19" s="119" t="s">
        <v>17</v>
      </c>
      <c r="B19" s="70">
        <v>75588</v>
      </c>
      <c r="C19" s="121">
        <v>-0.4589</v>
      </c>
      <c r="D19" s="70">
        <v>73319</v>
      </c>
      <c r="E19" s="121">
        <v>-0.03</v>
      </c>
      <c r="F19" s="70">
        <v>92898.01</v>
      </c>
      <c r="G19" s="121">
        <f t="shared" si="0"/>
        <v>0.2670386939265401</v>
      </c>
      <c r="H19" s="70">
        <f>'Monthly receipts from State'!$F$35</f>
        <v>108385.99</v>
      </c>
      <c r="I19" s="121">
        <f>(H19/F19)-1</f>
        <v>0.1667202559021448</v>
      </c>
      <c r="J19" s="190"/>
      <c r="K19" s="190">
        <v>4818.01</v>
      </c>
      <c r="N19" s="120"/>
    </row>
    <row r="20" spans="1:14" ht="15.75" customHeight="1">
      <c r="A20" s="36" t="s">
        <v>237</v>
      </c>
      <c r="B20" s="36" t="s">
        <v>261</v>
      </c>
      <c r="E20" s="70"/>
      <c r="F20" s="70"/>
      <c r="G20" s="121"/>
      <c r="H20" s="70"/>
      <c r="I20" s="121"/>
      <c r="N20" s="120"/>
    </row>
    <row r="21" spans="1:14" ht="15.75" customHeight="1">
      <c r="A21" s="120"/>
      <c r="B21" s="70"/>
      <c r="C21" s="121"/>
      <c r="D21" s="70"/>
      <c r="E21" s="121"/>
      <c r="F21" s="70"/>
      <c r="G21" s="121"/>
      <c r="H21" s="70"/>
      <c r="I21" s="121"/>
      <c r="N21" s="120"/>
    </row>
    <row r="22" spans="1:12" ht="12.75">
      <c r="A22" s="35" t="s">
        <v>139</v>
      </c>
      <c r="B22" s="72"/>
      <c r="C22"/>
      <c r="D22" s="72"/>
      <c r="E22"/>
      <c r="F22" s="74">
        <f>SUM(F8:F19)</f>
        <v>1228083.07</v>
      </c>
      <c r="G22" s="75"/>
      <c r="H22" s="74">
        <f>SUM(H8:H19)</f>
        <v>1300040.99</v>
      </c>
      <c r="I22" s="75">
        <f>H22/(SUM(F8:F19))-1</f>
        <v>0.058593691060328634</v>
      </c>
      <c r="L22" s="183"/>
    </row>
    <row r="23" spans="1:14" ht="15.75" customHeight="1">
      <c r="A23" s="36" t="s">
        <v>123</v>
      </c>
      <c r="B23" s="122">
        <f>SUM(B8:B22)</f>
        <v>1032346</v>
      </c>
      <c r="C23" s="121">
        <v>-0.2087</v>
      </c>
      <c r="D23" s="122">
        <f>SUM(D8:D19)</f>
        <v>944972</v>
      </c>
      <c r="E23" s="121">
        <f>(D23/B23)-1</f>
        <v>-0.08463635254071789</v>
      </c>
      <c r="F23" s="122">
        <f>SUM(F8:F19)</f>
        <v>1228083.07</v>
      </c>
      <c r="G23" s="121">
        <f>(F23/D23)-1</f>
        <v>0.2995973108197916</v>
      </c>
      <c r="H23" s="122"/>
      <c r="I23" s="121"/>
      <c r="N23" s="120"/>
    </row>
    <row r="24" spans="1:9" ht="14.25" customHeight="1">
      <c r="A24" s="36"/>
      <c r="B24" s="120"/>
      <c r="C24" s="120"/>
      <c r="D24" s="120"/>
      <c r="E24" s="118"/>
      <c r="F24" s="118"/>
      <c r="G24" s="118"/>
      <c r="H24" s="118"/>
      <c r="I24" s="118"/>
    </row>
    <row r="25" spans="1:9" ht="15.75" customHeight="1">
      <c r="A25" s="107" t="s">
        <v>24</v>
      </c>
      <c r="B25" s="120"/>
      <c r="C25" s="120"/>
      <c r="D25" s="120"/>
      <c r="E25" s="120"/>
      <c r="F25" s="120"/>
      <c r="G25" s="120"/>
      <c r="H25" s="120"/>
      <c r="I25" s="120"/>
    </row>
    <row r="26" spans="1:9" ht="15.75" customHeight="1">
      <c r="A26" s="67"/>
      <c r="B26" s="67"/>
      <c r="C26" s="67" t="s">
        <v>3</v>
      </c>
      <c r="D26" s="67"/>
      <c r="E26" s="67" t="s">
        <v>3</v>
      </c>
      <c r="F26" s="67"/>
      <c r="G26" s="67" t="s">
        <v>3</v>
      </c>
      <c r="H26" s="67"/>
      <c r="I26" s="67" t="s">
        <v>3</v>
      </c>
    </row>
    <row r="27" spans="1:9" ht="15.75" customHeight="1">
      <c r="A27" s="67"/>
      <c r="B27" s="67"/>
      <c r="C27" s="67" t="s">
        <v>4</v>
      </c>
      <c r="D27" s="67"/>
      <c r="E27" s="67" t="s">
        <v>4</v>
      </c>
      <c r="F27" s="67"/>
      <c r="G27" s="67" t="s">
        <v>4</v>
      </c>
      <c r="H27" s="67"/>
      <c r="I27" s="67" t="s">
        <v>4</v>
      </c>
    </row>
    <row r="28" spans="1:9" ht="15.75" customHeight="1">
      <c r="A28" s="77" t="s">
        <v>5</v>
      </c>
      <c r="B28" s="77" t="s">
        <v>211</v>
      </c>
      <c r="C28" s="77" t="s">
        <v>212</v>
      </c>
      <c r="D28" s="77" t="s">
        <v>217</v>
      </c>
      <c r="E28" s="77" t="s">
        <v>217</v>
      </c>
      <c r="F28" s="77" t="s">
        <v>228</v>
      </c>
      <c r="G28" s="77" t="s">
        <v>229</v>
      </c>
      <c r="H28" s="77" t="s">
        <v>239</v>
      </c>
      <c r="I28" s="77" t="s">
        <v>240</v>
      </c>
    </row>
    <row r="29" spans="1:14" ht="15.75" customHeight="1">
      <c r="A29" s="113"/>
      <c r="B29" s="123"/>
      <c r="C29" s="123"/>
      <c r="D29" s="123"/>
      <c r="E29" s="123"/>
      <c r="F29" s="123"/>
      <c r="G29" s="123"/>
      <c r="H29" s="123"/>
      <c r="I29" s="123"/>
      <c r="N29" s="120"/>
    </row>
    <row r="30" spans="1:14" ht="15.75" customHeight="1">
      <c r="A30" s="119" t="s">
        <v>6</v>
      </c>
      <c r="B30" s="70">
        <v>98616</v>
      </c>
      <c r="C30" s="121">
        <v>-0.0207</v>
      </c>
      <c r="D30" s="70">
        <v>97142</v>
      </c>
      <c r="E30" s="121">
        <v>-0.015</v>
      </c>
      <c r="F30" s="70">
        <v>139113</v>
      </c>
      <c r="G30" s="121">
        <v>0.4321</v>
      </c>
      <c r="H30" s="70">
        <v>131766</v>
      </c>
      <c r="I30" s="121">
        <v>-0.0528</v>
      </c>
      <c r="K30" s="190"/>
      <c r="N30" s="120"/>
    </row>
    <row r="31" spans="1:14" ht="15.75" customHeight="1">
      <c r="A31" s="119" t="s">
        <v>7</v>
      </c>
      <c r="B31" s="70">
        <v>79871</v>
      </c>
      <c r="C31" s="121">
        <v>-0.2508</v>
      </c>
      <c r="D31" s="70">
        <v>73372</v>
      </c>
      <c r="E31" s="121">
        <v>-0.0814</v>
      </c>
      <c r="F31" s="70">
        <v>101114</v>
      </c>
      <c r="G31" s="121">
        <v>0.3781</v>
      </c>
      <c r="H31" s="70">
        <v>93108</v>
      </c>
      <c r="I31" s="121">
        <v>-0.0792</v>
      </c>
      <c r="K31" s="190"/>
      <c r="N31" s="120"/>
    </row>
    <row r="32" spans="1:14" ht="15.75" customHeight="1">
      <c r="A32" s="119" t="s">
        <v>8</v>
      </c>
      <c r="B32" s="70">
        <v>91607</v>
      </c>
      <c r="C32" s="121">
        <v>-0.1014</v>
      </c>
      <c r="D32" s="70">
        <v>74074</v>
      </c>
      <c r="E32" s="121">
        <v>-0.1914</v>
      </c>
      <c r="F32" s="70">
        <v>99329</v>
      </c>
      <c r="G32" s="121">
        <v>0.3409</v>
      </c>
      <c r="H32" s="70">
        <v>92233</v>
      </c>
      <c r="I32" s="121">
        <v>-7.14</v>
      </c>
      <c r="K32" s="190"/>
      <c r="N32" s="120"/>
    </row>
    <row r="33" spans="1:14" ht="15.75" customHeight="1">
      <c r="A33" s="119" t="s">
        <v>9</v>
      </c>
      <c r="B33" s="70">
        <v>87461</v>
      </c>
      <c r="C33" s="121">
        <v>0.0298</v>
      </c>
      <c r="D33" s="70">
        <v>88436</v>
      </c>
      <c r="E33" s="121">
        <v>0.0111</v>
      </c>
      <c r="F33" s="70">
        <v>118601</v>
      </c>
      <c r="G33" s="121">
        <v>0.3411</v>
      </c>
      <c r="H33" s="70">
        <v>130922</v>
      </c>
      <c r="I33" s="121">
        <v>0.1039</v>
      </c>
      <c r="K33" s="190"/>
      <c r="N33" s="120"/>
    </row>
    <row r="34" spans="1:14" ht="15.75" customHeight="1">
      <c r="A34" s="119" t="s">
        <v>10</v>
      </c>
      <c r="B34" s="70">
        <v>93660</v>
      </c>
      <c r="C34" s="121">
        <v>-0.0037</v>
      </c>
      <c r="D34" s="70">
        <v>101707</v>
      </c>
      <c r="E34" s="121">
        <v>0.0859</v>
      </c>
      <c r="F34" s="70">
        <v>96092</v>
      </c>
      <c r="G34" s="121">
        <v>-0.0552</v>
      </c>
      <c r="H34" s="70">
        <v>110453</v>
      </c>
      <c r="I34" s="121">
        <v>0.1495</v>
      </c>
      <c r="K34" s="190"/>
      <c r="N34" s="120"/>
    </row>
    <row r="35" spans="1:14" ht="15.75" customHeight="1">
      <c r="A35" s="119" t="s">
        <v>11</v>
      </c>
      <c r="B35" s="70">
        <v>89881</v>
      </c>
      <c r="C35" s="121">
        <v>0.1335</v>
      </c>
      <c r="D35" s="70">
        <v>88707</v>
      </c>
      <c r="E35" s="121">
        <v>-0.0131</v>
      </c>
      <c r="F35" s="70">
        <v>100392</v>
      </c>
      <c r="G35" s="121">
        <v>0.1317</v>
      </c>
      <c r="H35" s="70">
        <v>105851</v>
      </c>
      <c r="I35" s="121">
        <v>0.0544</v>
      </c>
      <c r="K35" s="190"/>
      <c r="N35" s="120"/>
    </row>
    <row r="36" spans="1:14" ht="15.75" customHeight="1">
      <c r="A36" s="119" t="s">
        <v>12</v>
      </c>
      <c r="B36" s="70">
        <v>151152</v>
      </c>
      <c r="C36" s="121">
        <v>0.9003</v>
      </c>
      <c r="D36" s="70">
        <v>95912</v>
      </c>
      <c r="E36" s="121">
        <v>-0.3655</v>
      </c>
      <c r="F36" s="70">
        <v>113630</v>
      </c>
      <c r="G36" s="121">
        <v>0.1847</v>
      </c>
      <c r="H36" s="70">
        <v>77881</v>
      </c>
      <c r="I36" s="121">
        <v>-0.3146</v>
      </c>
      <c r="K36" s="190"/>
      <c r="N36" s="120"/>
    </row>
    <row r="37" spans="1:14" ht="15.75" customHeight="1">
      <c r="A37" s="119" t="s">
        <v>13</v>
      </c>
      <c r="B37" s="70">
        <v>111916</v>
      </c>
      <c r="C37" s="121">
        <v>-0.6936</v>
      </c>
      <c r="D37" s="70">
        <v>85228</v>
      </c>
      <c r="E37" s="121">
        <v>-0.2385</v>
      </c>
      <c r="F37" s="70">
        <v>116488</v>
      </c>
      <c r="G37" s="121">
        <v>0.3668</v>
      </c>
      <c r="H37" s="70">
        <v>125634</v>
      </c>
      <c r="I37" s="121">
        <v>0.0785</v>
      </c>
      <c r="K37" s="190"/>
      <c r="N37" s="120"/>
    </row>
    <row r="38" spans="1:14" ht="15.75" customHeight="1">
      <c r="A38" s="119" t="s">
        <v>14</v>
      </c>
      <c r="B38" s="70">
        <v>98524</v>
      </c>
      <c r="C38" s="121">
        <v>0.011</v>
      </c>
      <c r="D38" s="70">
        <v>85482</v>
      </c>
      <c r="E38" s="121">
        <v>-0.1324</v>
      </c>
      <c r="F38" s="70">
        <v>149003</v>
      </c>
      <c r="G38" s="121">
        <v>0.7431</v>
      </c>
      <c r="H38" s="70">
        <v>122303</v>
      </c>
      <c r="I38" s="121">
        <v>-0.1792</v>
      </c>
      <c r="K38" s="190"/>
      <c r="N38" s="120"/>
    </row>
    <row r="39" spans="1:14" ht="15.75" customHeight="1">
      <c r="A39" s="119" t="s">
        <v>15</v>
      </c>
      <c r="B39" s="70">
        <v>105905</v>
      </c>
      <c r="C39" s="121">
        <v>0.2204</v>
      </c>
      <c r="D39" s="70">
        <v>93354</v>
      </c>
      <c r="E39" s="121">
        <v>-0.1185</v>
      </c>
      <c r="F39" s="70">
        <v>130243</v>
      </c>
      <c r="G39" s="121">
        <v>0.3952</v>
      </c>
      <c r="H39" s="70">
        <v>159553</v>
      </c>
      <c r="I39" s="121">
        <v>0.225</v>
      </c>
      <c r="K39" s="190"/>
      <c r="N39" s="120"/>
    </row>
    <row r="40" spans="1:14" ht="15.75" customHeight="1">
      <c r="A40" s="119" t="s">
        <v>16</v>
      </c>
      <c r="B40" s="70">
        <v>85076</v>
      </c>
      <c r="C40" s="121">
        <v>-0.1803</v>
      </c>
      <c r="D40" s="70">
        <v>118970</v>
      </c>
      <c r="E40" s="121">
        <v>0.3984</v>
      </c>
      <c r="F40" s="70">
        <v>90268</v>
      </c>
      <c r="G40" s="121">
        <v>-0.2413</v>
      </c>
      <c r="H40" s="70">
        <v>82837</v>
      </c>
      <c r="I40" s="121">
        <v>-0.0823</v>
      </c>
      <c r="K40" s="190"/>
      <c r="N40" s="120"/>
    </row>
    <row r="41" spans="1:14" ht="15.75" customHeight="1">
      <c r="A41" s="119" t="s">
        <v>17</v>
      </c>
      <c r="B41" s="70">
        <v>86358</v>
      </c>
      <c r="C41" s="121">
        <v>-0.4567</v>
      </c>
      <c r="D41" s="70">
        <f>'Monthly receipts from State'!$F$34</f>
        <v>107571.03</v>
      </c>
      <c r="E41" s="121">
        <f>D41/B41-1</f>
        <v>0.24564058917529352</v>
      </c>
      <c r="F41" s="70">
        <v>100724</v>
      </c>
      <c r="G41" s="121">
        <v>0</v>
      </c>
      <c r="H41" s="70">
        <f>'Monthly receipts from State'!$F$34</f>
        <v>107571.03</v>
      </c>
      <c r="I41" s="121">
        <f>H41/F41-1</f>
        <v>0.06797813827886112</v>
      </c>
      <c r="K41" s="190"/>
      <c r="N41" s="120"/>
    </row>
    <row r="42" spans="1:14" ht="15.75" customHeight="1">
      <c r="A42" s="120"/>
      <c r="B42" s="122"/>
      <c r="C42" s="121"/>
      <c r="D42" s="122"/>
      <c r="E42" s="121"/>
      <c r="F42" s="122"/>
      <c r="G42" s="121"/>
      <c r="H42" s="122"/>
      <c r="I42" s="121"/>
      <c r="N42" s="120"/>
    </row>
    <row r="43" spans="1:12" ht="12.75">
      <c r="A43" s="35" t="s">
        <v>139</v>
      </c>
      <c r="B43" s="72"/>
      <c r="C43"/>
      <c r="D43" s="72"/>
      <c r="E43"/>
      <c r="F43" s="74">
        <f>SUM(F30:F41)</f>
        <v>1354997</v>
      </c>
      <c r="G43" s="75"/>
      <c r="H43" s="74">
        <f>SUM(H30:H41)</f>
        <v>1340112.03</v>
      </c>
      <c r="I43" s="75">
        <f>H43/(SUM(F30:F41))-1</f>
        <v>-0.010985242033746179</v>
      </c>
      <c r="L43" s="183"/>
    </row>
    <row r="44" spans="1:14" ht="15.75" customHeight="1">
      <c r="A44" s="36" t="s">
        <v>18</v>
      </c>
      <c r="B44" s="122">
        <f>SUM(B30:B43)</f>
        <v>1180027</v>
      </c>
      <c r="C44" s="121">
        <v>0.4463</v>
      </c>
      <c r="D44" s="122">
        <f>SUM(D30:D41)</f>
        <v>1109955.03</v>
      </c>
      <c r="E44" s="121">
        <f>(D44/B44)-1</f>
        <v>-0.05938166669067735</v>
      </c>
      <c r="F44" s="122">
        <f>SUM(F30:F41)</f>
        <v>1354997</v>
      </c>
      <c r="G44" s="121">
        <f>(F44/D44)-1</f>
        <v>0.22076747559763743</v>
      </c>
      <c r="H44" s="122"/>
      <c r="I44" s="121"/>
      <c r="N44" s="120"/>
    </row>
    <row r="45" spans="1:14" ht="15.75" customHeight="1">
      <c r="A45" s="36"/>
      <c r="B45" s="122"/>
      <c r="C45" s="121"/>
      <c r="D45" s="122"/>
      <c r="E45" s="121"/>
      <c r="F45" s="122"/>
      <c r="G45" s="121"/>
      <c r="H45" s="122"/>
      <c r="I45" s="121"/>
      <c r="N45" s="120"/>
    </row>
    <row r="46" spans="1:14" ht="15.75" customHeight="1">
      <c r="A46" s="36" t="s">
        <v>25</v>
      </c>
      <c r="B46" s="122">
        <v>2212373</v>
      </c>
      <c r="C46" s="34" t="s">
        <v>19</v>
      </c>
      <c r="D46" s="122">
        <f>D44+D23</f>
        <v>2054927.03</v>
      </c>
      <c r="E46" s="34" t="s">
        <v>19</v>
      </c>
      <c r="F46" s="122">
        <f>F44+F23</f>
        <v>2583080.0700000003</v>
      </c>
      <c r="G46" s="34" t="s">
        <v>19</v>
      </c>
      <c r="H46" s="122">
        <f>H43+H22</f>
        <v>2640153.02</v>
      </c>
      <c r="I46" s="34" t="s">
        <v>19</v>
      </c>
      <c r="N46" s="120"/>
    </row>
    <row r="47" spans="3:9" ht="15.75" customHeight="1">
      <c r="C47" s="106"/>
      <c r="E47" s="106"/>
      <c r="G47" s="106"/>
      <c r="I47" s="106"/>
    </row>
    <row r="48" spans="1:9" ht="15.75" customHeight="1">
      <c r="A48" s="36" t="s">
        <v>121</v>
      </c>
      <c r="B48" s="124">
        <v>2374000</v>
      </c>
      <c r="C48" s="71">
        <v>0.9319</v>
      </c>
      <c r="D48" s="124">
        <v>2341000</v>
      </c>
      <c r="E48" s="71">
        <f>D46/D48</f>
        <v>0.8777988167449808</v>
      </c>
      <c r="F48" s="124">
        <v>2382000</v>
      </c>
      <c r="G48" s="71">
        <f>F46/F48</f>
        <v>1.0844164861460959</v>
      </c>
      <c r="H48" s="124">
        <v>2125000</v>
      </c>
      <c r="I48" s="71">
        <f>H46/H48</f>
        <v>1.2424249505882352</v>
      </c>
    </row>
    <row r="49" spans="4:5" ht="15.75" customHeight="1">
      <c r="D49" s="34"/>
      <c r="E49" s="34"/>
    </row>
    <row r="50" spans="1:4" ht="15.75" customHeight="1">
      <c r="A50" s="34"/>
      <c r="B50" s="32"/>
      <c r="C50" s="34"/>
      <c r="D50" s="34"/>
    </row>
  </sheetData>
  <sheetProtection/>
  <printOptions horizontalCentered="1"/>
  <pageMargins left="0.25" right="0" top="0.47" bottom="0.58" header="0.34" footer="0.33"/>
  <pageSetup fitToHeight="1" fitToWidth="1" horizontalDpi="600" verticalDpi="600" orientation="portrait" scale="81" r:id="rId3"/>
  <headerFooter alignWithMargins="0">
    <oddFooter>&amp;CPage 6</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zoomScale="110" zoomScaleNormal="110" zoomScalePageLayoutView="0" workbookViewId="0" topLeftCell="A1">
      <selection activeCell="I26" sqref="I26"/>
    </sheetView>
  </sheetViews>
  <sheetFormatPr defaultColWidth="9.00390625" defaultRowHeight="12.75"/>
  <cols>
    <col min="1" max="1" width="9.75390625" style="4" customWidth="1"/>
    <col min="2" max="2" width="10.375" style="4" customWidth="1"/>
    <col min="3" max="3" width="10.625" style="4" customWidth="1"/>
    <col min="4" max="4" width="11.125" style="4" customWidth="1"/>
    <col min="5" max="5" width="10.625" style="4" customWidth="1"/>
    <col min="6" max="6" width="12.125" style="4" customWidth="1"/>
    <col min="7" max="7" width="10.625" style="4" customWidth="1"/>
    <col min="8" max="8" width="11.375" style="4" customWidth="1"/>
    <col min="9" max="9" width="10.625" style="4" customWidth="1"/>
    <col min="10" max="10" width="13.00390625" style="4" customWidth="1"/>
    <col min="11" max="16384" width="9.125" style="4" customWidth="1"/>
  </cols>
  <sheetData>
    <row r="1" spans="1:10" ht="11.25">
      <c r="A1" s="125"/>
      <c r="B1" s="125"/>
      <c r="C1" s="125"/>
      <c r="D1" s="125"/>
      <c r="E1" s="125"/>
      <c r="F1" s="125"/>
      <c r="G1" s="125"/>
      <c r="H1" s="125"/>
      <c r="I1" s="125"/>
      <c r="J1" s="125"/>
    </row>
    <row r="2" spans="1:3" ht="11.25">
      <c r="A2" s="107" t="s">
        <v>171</v>
      </c>
      <c r="B2" s="73"/>
      <c r="C2" s="73"/>
    </row>
    <row r="3" spans="1:3" ht="11.25">
      <c r="A3" s="107"/>
      <c r="B3" s="73"/>
      <c r="C3" s="73"/>
    </row>
    <row r="4" spans="1:10" ht="11.25">
      <c r="A4" s="67"/>
      <c r="B4" s="67"/>
      <c r="C4" s="67" t="s">
        <v>3</v>
      </c>
      <c r="D4" s="67"/>
      <c r="E4" s="67" t="s">
        <v>3</v>
      </c>
      <c r="F4" s="67"/>
      <c r="G4" s="67" t="s">
        <v>3</v>
      </c>
      <c r="H4" s="67"/>
      <c r="I4" s="67" t="s">
        <v>3</v>
      </c>
      <c r="J4" s="67"/>
    </row>
    <row r="5" spans="1:10" ht="11.25">
      <c r="A5" s="67"/>
      <c r="B5" s="67"/>
      <c r="C5" s="67" t="s">
        <v>4</v>
      </c>
      <c r="D5" s="67"/>
      <c r="E5" s="67" t="s">
        <v>4</v>
      </c>
      <c r="F5" s="67"/>
      <c r="G5" s="67" t="s">
        <v>4</v>
      </c>
      <c r="H5" s="67"/>
      <c r="I5" s="67" t="s">
        <v>4</v>
      </c>
      <c r="J5" s="67"/>
    </row>
    <row r="6" spans="1:10" ht="11.25">
      <c r="A6" s="67" t="s">
        <v>5</v>
      </c>
      <c r="B6" s="67" t="s">
        <v>211</v>
      </c>
      <c r="C6" s="67" t="s">
        <v>212</v>
      </c>
      <c r="D6" s="67" t="s">
        <v>216</v>
      </c>
      <c r="E6" s="67" t="s">
        <v>217</v>
      </c>
      <c r="F6" s="67" t="s">
        <v>228</v>
      </c>
      <c r="G6" s="67" t="s">
        <v>229</v>
      </c>
      <c r="H6" s="67" t="s">
        <v>239</v>
      </c>
      <c r="I6" s="67" t="s">
        <v>240</v>
      </c>
      <c r="J6" s="67"/>
    </row>
    <row r="7" spans="1:10" ht="11.25">
      <c r="A7" s="126"/>
      <c r="B7" s="127"/>
      <c r="C7" s="76"/>
      <c r="D7" s="127"/>
      <c r="E7" s="76"/>
      <c r="F7" s="127"/>
      <c r="G7" s="76"/>
      <c r="H7" s="127"/>
      <c r="I7" s="76"/>
      <c r="J7" s="36"/>
    </row>
    <row r="8" spans="1:10" ht="12">
      <c r="A8" s="2" t="s">
        <v>6</v>
      </c>
      <c r="B8" s="197">
        <v>856502</v>
      </c>
      <c r="C8" s="198">
        <v>0.1174</v>
      </c>
      <c r="D8" s="197">
        <v>838865</v>
      </c>
      <c r="E8" s="198">
        <v>0.1214</v>
      </c>
      <c r="F8" s="197">
        <v>887675</v>
      </c>
      <c r="G8" s="198">
        <v>0.0364</v>
      </c>
      <c r="H8" s="197">
        <v>877501</v>
      </c>
      <c r="I8" s="198">
        <v>0.0461</v>
      </c>
      <c r="J8" s="128"/>
    </row>
    <row r="9" spans="1:10" ht="12">
      <c r="A9" s="2" t="s">
        <v>7</v>
      </c>
      <c r="B9" s="197">
        <v>815918</v>
      </c>
      <c r="C9" s="198">
        <v>0.1078</v>
      </c>
      <c r="D9" s="197">
        <v>779623</v>
      </c>
      <c r="E9" s="198">
        <v>-0.0102</v>
      </c>
      <c r="F9" s="197">
        <v>787570</v>
      </c>
      <c r="G9" s="198">
        <v>-0.0347</v>
      </c>
      <c r="H9" s="197">
        <v>817661</v>
      </c>
      <c r="I9" s="198">
        <v>0.0488</v>
      </c>
      <c r="J9" s="36"/>
    </row>
    <row r="10" spans="1:10" ht="12">
      <c r="A10" s="2" t="s">
        <v>8</v>
      </c>
      <c r="B10" s="197">
        <v>760861</v>
      </c>
      <c r="C10" s="198">
        <v>-0.0005</v>
      </c>
      <c r="D10" s="197">
        <v>788949</v>
      </c>
      <c r="E10" s="198">
        <v>0.0397</v>
      </c>
      <c r="F10" s="197">
        <v>772302</v>
      </c>
      <c r="G10" s="198">
        <v>0.015</v>
      </c>
      <c r="H10" s="197">
        <v>844045</v>
      </c>
      <c r="I10" s="198">
        <v>0.0698</v>
      </c>
      <c r="J10" s="36"/>
    </row>
    <row r="11" spans="1:10" ht="12">
      <c r="A11" s="2" t="s">
        <v>9</v>
      </c>
      <c r="B11" s="197">
        <v>783669</v>
      </c>
      <c r="C11" s="198">
        <v>0.0662</v>
      </c>
      <c r="D11" s="197">
        <v>939052</v>
      </c>
      <c r="E11" s="198">
        <v>0.2495</v>
      </c>
      <c r="F11" s="197">
        <v>815937</v>
      </c>
      <c r="G11" s="198">
        <v>0.0412</v>
      </c>
      <c r="H11" s="197">
        <v>797732</v>
      </c>
      <c r="I11" s="198">
        <v>-0.1505</v>
      </c>
      <c r="J11" s="36"/>
    </row>
    <row r="12" spans="1:10" ht="12">
      <c r="A12" s="2" t="s">
        <v>10</v>
      </c>
      <c r="B12" s="197">
        <v>762409</v>
      </c>
      <c r="C12" s="198">
        <v>0.035</v>
      </c>
      <c r="D12" s="197">
        <v>668171</v>
      </c>
      <c r="E12" s="198">
        <v>-0.1421</v>
      </c>
      <c r="F12" s="197">
        <v>785944</v>
      </c>
      <c r="G12" s="198">
        <v>0.0309</v>
      </c>
      <c r="H12" s="197">
        <v>833400</v>
      </c>
      <c r="I12" s="198">
        <v>0.2473</v>
      </c>
      <c r="J12" s="36"/>
    </row>
    <row r="13" spans="1:10" ht="12">
      <c r="A13" s="2" t="s">
        <v>11</v>
      </c>
      <c r="B13" s="197">
        <v>726863</v>
      </c>
      <c r="C13" s="198">
        <v>0.0394</v>
      </c>
      <c r="D13" s="197">
        <v>757103</v>
      </c>
      <c r="E13" s="198">
        <v>0.0166</v>
      </c>
      <c r="F13" s="197">
        <v>780296</v>
      </c>
      <c r="G13" s="198">
        <v>0.0735</v>
      </c>
      <c r="H13" s="197">
        <v>794454</v>
      </c>
      <c r="I13" s="198">
        <v>0.0493</v>
      </c>
      <c r="J13" s="36"/>
    </row>
    <row r="14" spans="1:10" ht="12">
      <c r="A14" s="2" t="s">
        <v>12</v>
      </c>
      <c r="B14" s="197">
        <v>853978</v>
      </c>
      <c r="C14" s="198">
        <v>0.0094</v>
      </c>
      <c r="D14" s="197">
        <v>906812</v>
      </c>
      <c r="E14" s="198">
        <v>0.0498</v>
      </c>
      <c r="F14" s="197">
        <v>899105</v>
      </c>
      <c r="G14" s="198">
        <v>0.0528</v>
      </c>
      <c r="H14" s="197">
        <v>912166</v>
      </c>
      <c r="I14" s="198">
        <v>0.0059</v>
      </c>
      <c r="J14" s="36"/>
    </row>
    <row r="15" spans="1:10" ht="12">
      <c r="A15" s="2" t="s">
        <v>13</v>
      </c>
      <c r="B15" s="197">
        <v>751620</v>
      </c>
      <c r="C15" s="198">
        <v>0.1065</v>
      </c>
      <c r="D15" s="197">
        <v>743243</v>
      </c>
      <c r="E15" s="198">
        <v>0.069</v>
      </c>
      <c r="F15" s="197">
        <v>768970</v>
      </c>
      <c r="G15" s="198">
        <v>0.0231</v>
      </c>
      <c r="H15" s="197">
        <v>791916</v>
      </c>
      <c r="I15" s="198">
        <v>0.0655</v>
      </c>
      <c r="J15" s="36"/>
    </row>
    <row r="16" spans="1:10" ht="12">
      <c r="A16" s="2" t="s">
        <v>14</v>
      </c>
      <c r="B16" s="197">
        <v>762808</v>
      </c>
      <c r="C16" s="198">
        <v>0.0629</v>
      </c>
      <c r="D16" s="197">
        <v>724066</v>
      </c>
      <c r="E16" s="198">
        <v>0.0512</v>
      </c>
      <c r="F16" s="197">
        <v>727350</v>
      </c>
      <c r="G16" s="198">
        <v>-0.0465</v>
      </c>
      <c r="H16" s="197">
        <v>769855</v>
      </c>
      <c r="I16" s="198">
        <v>0.0632</v>
      </c>
      <c r="J16" s="36"/>
    </row>
    <row r="17" spans="1:10" ht="12">
      <c r="A17" s="2" t="s">
        <v>15</v>
      </c>
      <c r="B17" s="197">
        <v>817347</v>
      </c>
      <c r="C17" s="198">
        <v>0.0695</v>
      </c>
      <c r="D17" s="197">
        <v>819850</v>
      </c>
      <c r="E17" s="198">
        <v>0.0129</v>
      </c>
      <c r="F17" s="197">
        <v>874011</v>
      </c>
      <c r="G17" s="198">
        <v>0.0693</v>
      </c>
      <c r="H17" s="197">
        <v>867416</v>
      </c>
      <c r="I17" s="198">
        <v>0.058</v>
      </c>
      <c r="J17" s="128"/>
    </row>
    <row r="18" spans="1:10" ht="12">
      <c r="A18" s="2" t="s">
        <v>16</v>
      </c>
      <c r="B18" s="197">
        <v>738147</v>
      </c>
      <c r="C18" s="198">
        <v>0.0008</v>
      </c>
      <c r="D18" s="197">
        <v>758387</v>
      </c>
      <c r="E18" s="198">
        <v>-0.063</v>
      </c>
      <c r="F18" s="197">
        <v>799435</v>
      </c>
      <c r="G18" s="198">
        <v>0.083</v>
      </c>
      <c r="H18" s="197">
        <v>841287</v>
      </c>
      <c r="I18" s="198">
        <v>0.1093</v>
      </c>
      <c r="J18" s="129" t="s">
        <v>26</v>
      </c>
    </row>
    <row r="19" spans="1:10" ht="12">
      <c r="A19" s="2" t="s">
        <v>17</v>
      </c>
      <c r="B19" s="197">
        <v>756620</v>
      </c>
      <c r="C19" s="198">
        <v>0.0689</v>
      </c>
      <c r="D19" s="197">
        <v>799337</v>
      </c>
      <c r="E19" s="198">
        <v>0.0694</v>
      </c>
      <c r="F19" s="197">
        <v>1014330</v>
      </c>
      <c r="G19" s="198">
        <v>0.3406</v>
      </c>
      <c r="H19" s="197">
        <f>'Monthly receipts from State'!$F$32</f>
        <v>839024.83</v>
      </c>
      <c r="I19" s="198">
        <f>H19/D19-1</f>
        <v>0.049650935712971966</v>
      </c>
      <c r="J19" s="130"/>
    </row>
    <row r="20" spans="1:9" ht="12">
      <c r="A20" s="1"/>
      <c r="B20" s="1"/>
      <c r="C20" s="1"/>
      <c r="D20" s="1"/>
      <c r="E20" s="1"/>
      <c r="F20" s="1"/>
      <c r="G20" s="1"/>
      <c r="H20" s="1"/>
      <c r="I20" s="1"/>
    </row>
    <row r="21" spans="1:12" ht="12">
      <c r="A21" s="199" t="s">
        <v>139</v>
      </c>
      <c r="B21" s="200"/>
      <c r="C21" s="201"/>
      <c r="D21" s="200"/>
      <c r="E21" s="201"/>
      <c r="F21" s="202">
        <f>SUM(F8:F19)</f>
        <v>9912925</v>
      </c>
      <c r="G21" s="203"/>
      <c r="H21" s="202">
        <f>SUM(H8:H19)</f>
        <v>9986457.83</v>
      </c>
      <c r="I21" s="203">
        <f>H21/(SUM(F8:F19))-1</f>
        <v>0.0074178741390660274</v>
      </c>
      <c r="L21" s="183"/>
    </row>
    <row r="22" spans="1:10" ht="12">
      <c r="A22" s="33" t="s">
        <v>123</v>
      </c>
      <c r="B22" s="205">
        <f>SUM(B8:B21)</f>
        <v>9386742</v>
      </c>
      <c r="C22" s="198">
        <v>0.0218</v>
      </c>
      <c r="D22" s="205">
        <f>SUM(D8:D19)</f>
        <v>9523458</v>
      </c>
      <c r="E22" s="198">
        <f>D22/B22-1</f>
        <v>0.014564797881948754</v>
      </c>
      <c r="F22" s="205">
        <f>SUM(F8:F19)</f>
        <v>9912925</v>
      </c>
      <c r="G22" s="198">
        <f>F22/D22-1</f>
        <v>0.040895544454545796</v>
      </c>
      <c r="H22" s="205"/>
      <c r="I22" s="198"/>
      <c r="J22" s="132"/>
    </row>
    <row r="23" spans="1:10" ht="12">
      <c r="A23" s="163"/>
      <c r="B23" s="206"/>
      <c r="C23" s="3" t="s">
        <v>19</v>
      </c>
      <c r="D23" s="206"/>
      <c r="E23" s="3" t="s">
        <v>19</v>
      </c>
      <c r="F23" s="206"/>
      <c r="G23" s="3" t="s">
        <v>19</v>
      </c>
      <c r="H23" s="206"/>
      <c r="I23" s="3" t="s">
        <v>19</v>
      </c>
      <c r="J23" s="104" t="s">
        <v>26</v>
      </c>
    </row>
    <row r="24" spans="1:10" ht="12">
      <c r="A24" s="163" t="s">
        <v>121</v>
      </c>
      <c r="B24" s="205">
        <v>9387000</v>
      </c>
      <c r="C24" s="198">
        <f>B22/B24</f>
        <v>0.9999725151805688</v>
      </c>
      <c r="D24" s="205">
        <v>10159000</v>
      </c>
      <c r="E24" s="198">
        <f>D22/D24</f>
        <v>0.937440496111822</v>
      </c>
      <c r="F24" s="205">
        <v>10331000</v>
      </c>
      <c r="G24" s="198">
        <f>F22/F24</f>
        <v>0.9595319910947633</v>
      </c>
      <c r="H24" s="205">
        <v>10311000</v>
      </c>
      <c r="I24" s="198">
        <f>H21/H24</f>
        <v>0.9685246658907962</v>
      </c>
      <c r="J24" s="90"/>
    </row>
    <row r="25" spans="4:10" ht="11.25">
      <c r="D25" s="133"/>
      <c r="E25" s="134"/>
      <c r="F25" s="135"/>
      <c r="G25" s="134"/>
      <c r="H25" s="90"/>
      <c r="I25" s="90"/>
      <c r="J25" s="90"/>
    </row>
    <row r="26" spans="2:10" ht="11.25">
      <c r="B26" s="32"/>
      <c r="C26" s="34"/>
      <c r="D26" s="34"/>
      <c r="E26" s="105"/>
      <c r="F26" s="131"/>
      <c r="G26" s="105"/>
      <c r="H26" s="90"/>
      <c r="I26" s="90"/>
      <c r="J26" s="90"/>
    </row>
    <row r="27" spans="4:10" ht="11.25">
      <c r="D27" s="36"/>
      <c r="E27" s="90"/>
      <c r="F27" s="136"/>
      <c r="G27" s="90"/>
      <c r="H27" s="90"/>
      <c r="I27" s="90"/>
      <c r="J27" s="90"/>
    </row>
    <row r="28" spans="4:10" ht="11.25">
      <c r="D28" s="133"/>
      <c r="E28" s="137"/>
      <c r="F28" s="138"/>
      <c r="G28" s="137"/>
      <c r="H28" s="137"/>
      <c r="I28" s="137"/>
      <c r="J28" s="137"/>
    </row>
    <row r="29" spans="1:10" ht="11.25">
      <c r="A29" s="36"/>
      <c r="B29" s="36"/>
      <c r="C29" s="36"/>
      <c r="D29" s="36"/>
      <c r="E29" s="90"/>
      <c r="F29" s="136"/>
      <c r="G29" s="90"/>
      <c r="H29" s="90"/>
      <c r="I29" s="90"/>
      <c r="J29" s="90"/>
    </row>
    <row r="30" spans="6:10" ht="11.25">
      <c r="F30" s="131"/>
      <c r="G30" s="133"/>
      <c r="H30" s="90"/>
      <c r="I30" s="90"/>
      <c r="J30" s="90"/>
    </row>
    <row r="31" spans="1:5" ht="11.25">
      <c r="A31" s="167" t="s">
        <v>172</v>
      </c>
      <c r="B31" s="167"/>
      <c r="C31" s="167"/>
      <c r="D31" s="167"/>
      <c r="E31" s="167"/>
    </row>
    <row r="32" ht="11.25"/>
    <row r="33" spans="1:9" ht="12.75">
      <c r="A33" s="195"/>
      <c r="B33" s="67"/>
      <c r="C33" s="67" t="s">
        <v>3</v>
      </c>
      <c r="D33" s="67"/>
      <c r="E33" s="67" t="s">
        <v>3</v>
      </c>
      <c r="F33" s="67"/>
      <c r="G33" s="67" t="s">
        <v>3</v>
      </c>
      <c r="H33" s="67"/>
      <c r="I33" s="67" t="s">
        <v>3</v>
      </c>
    </row>
    <row r="34" spans="1:9" ht="12">
      <c r="A34" s="163"/>
      <c r="B34" s="67"/>
      <c r="C34" s="67" t="s">
        <v>4</v>
      </c>
      <c r="D34" s="67"/>
      <c r="E34" s="67" t="s">
        <v>4</v>
      </c>
      <c r="F34" s="67"/>
      <c r="G34" s="67" t="s">
        <v>4</v>
      </c>
      <c r="H34" s="67"/>
      <c r="I34" s="67" t="s">
        <v>4</v>
      </c>
    </row>
    <row r="35" spans="1:9" ht="12">
      <c r="A35" s="163" t="s">
        <v>5</v>
      </c>
      <c r="B35" s="67" t="s">
        <v>211</v>
      </c>
      <c r="C35" s="67" t="s">
        <v>212</v>
      </c>
      <c r="D35" s="67" t="s">
        <v>216</v>
      </c>
      <c r="E35" s="67" t="s">
        <v>217</v>
      </c>
      <c r="F35" s="67" t="s">
        <v>228</v>
      </c>
      <c r="G35" s="67" t="s">
        <v>229</v>
      </c>
      <c r="H35" s="67" t="s">
        <v>239</v>
      </c>
      <c r="I35" s="67" t="s">
        <v>240</v>
      </c>
    </row>
    <row r="36" ht="11.25"/>
    <row r="37" spans="1:9" ht="12">
      <c r="A37" s="32" t="s">
        <v>6</v>
      </c>
      <c r="B37" s="79">
        <v>195074</v>
      </c>
      <c r="C37" s="71">
        <v>0.2485</v>
      </c>
      <c r="D37" s="79">
        <v>122009</v>
      </c>
      <c r="E37" s="71">
        <v>-0.3745</v>
      </c>
      <c r="F37" s="79">
        <v>130928</v>
      </c>
      <c r="G37" s="71">
        <v>0.0731</v>
      </c>
      <c r="H37" s="79">
        <v>109565</v>
      </c>
      <c r="I37" s="71">
        <v>-0.1632</v>
      </c>
    </row>
    <row r="38" spans="1:9" ht="12">
      <c r="A38" s="32" t="s">
        <v>7</v>
      </c>
      <c r="B38" s="79">
        <v>182344</v>
      </c>
      <c r="C38" s="71">
        <v>0.1267</v>
      </c>
      <c r="D38" s="79">
        <v>112039</v>
      </c>
      <c r="E38" s="71">
        <v>-0.3856</v>
      </c>
      <c r="F38" s="79">
        <v>119085</v>
      </c>
      <c r="G38" s="71">
        <v>0.0629</v>
      </c>
      <c r="H38" s="79">
        <v>103054</v>
      </c>
      <c r="I38" s="71">
        <v>-0.1346</v>
      </c>
    </row>
    <row r="39" spans="1:9" ht="12">
      <c r="A39" s="32" t="s">
        <v>8</v>
      </c>
      <c r="B39" s="79">
        <v>170466</v>
      </c>
      <c r="C39" s="71">
        <v>0.0862</v>
      </c>
      <c r="D39" s="79">
        <v>114010</v>
      </c>
      <c r="E39" s="71">
        <v>-0.3312</v>
      </c>
      <c r="F39" s="79">
        <v>112539</v>
      </c>
      <c r="G39" s="71">
        <v>-0.0129</v>
      </c>
      <c r="H39" s="79">
        <v>107429</v>
      </c>
      <c r="I39" s="71">
        <v>-0.0454</v>
      </c>
    </row>
    <row r="40" spans="1:9" ht="12">
      <c r="A40" s="32" t="s">
        <v>9</v>
      </c>
      <c r="B40" s="79">
        <v>177458</v>
      </c>
      <c r="C40" s="71">
        <v>0.1075</v>
      </c>
      <c r="D40" s="79">
        <v>123512</v>
      </c>
      <c r="E40" s="71">
        <v>-0.304</v>
      </c>
      <c r="F40" s="79">
        <v>120187</v>
      </c>
      <c r="G40" s="71">
        <v>-0.0269</v>
      </c>
      <c r="H40" s="79">
        <v>102344</v>
      </c>
      <c r="I40" s="71">
        <v>-0.1485</v>
      </c>
    </row>
    <row r="41" spans="1:9" ht="12">
      <c r="A41" s="32" t="s">
        <v>10</v>
      </c>
      <c r="B41" s="79">
        <v>171713</v>
      </c>
      <c r="C41" s="71">
        <v>0.0352</v>
      </c>
      <c r="D41" s="79">
        <v>110867</v>
      </c>
      <c r="E41" s="71">
        <v>-0.3543</v>
      </c>
      <c r="F41" s="79">
        <v>115262</v>
      </c>
      <c r="G41" s="71">
        <v>0.0396</v>
      </c>
      <c r="H41" s="79">
        <v>105456</v>
      </c>
      <c r="I41" s="71">
        <v>-0.0851</v>
      </c>
    </row>
    <row r="42" spans="1:9" ht="12">
      <c r="A42" s="32" t="s">
        <v>20</v>
      </c>
      <c r="B42" s="79">
        <v>50996</v>
      </c>
      <c r="C42" s="71">
        <v>-0.7748</v>
      </c>
      <c r="D42" s="79">
        <v>110090</v>
      </c>
      <c r="E42" s="71">
        <v>1.1588</v>
      </c>
      <c r="F42" s="79">
        <v>137462</v>
      </c>
      <c r="G42" s="71">
        <v>0.2486</v>
      </c>
      <c r="H42" s="79">
        <v>134613</v>
      </c>
      <c r="I42" s="71">
        <v>-0.0207</v>
      </c>
    </row>
    <row r="43" spans="1:9" ht="12">
      <c r="A43" s="32" t="s">
        <v>12</v>
      </c>
      <c r="B43" s="79">
        <v>59255</v>
      </c>
      <c r="C43" s="71">
        <v>-0.7779</v>
      </c>
      <c r="D43" s="79">
        <v>131378</v>
      </c>
      <c r="E43" s="71">
        <v>1.2172</v>
      </c>
      <c r="F43" s="79">
        <v>154705</v>
      </c>
      <c r="G43" s="71">
        <v>0.1776</v>
      </c>
      <c r="H43" s="79">
        <v>154235</v>
      </c>
      <c r="I43" s="71">
        <v>-0.003</v>
      </c>
    </row>
    <row r="44" spans="1:9" ht="12">
      <c r="A44" s="32" t="s">
        <v>13</v>
      </c>
      <c r="B44" s="79">
        <v>53567</v>
      </c>
      <c r="C44" s="71">
        <v>-0.7494</v>
      </c>
      <c r="D44" s="79">
        <v>107804</v>
      </c>
      <c r="E44" s="71">
        <v>1.0125</v>
      </c>
      <c r="F44" s="79">
        <v>134414</v>
      </c>
      <c r="G44" s="71">
        <v>0.2468</v>
      </c>
      <c r="H44" s="79">
        <v>134284</v>
      </c>
      <c r="I44" s="71">
        <v>-0.001</v>
      </c>
    </row>
    <row r="45" spans="1:9" ht="12">
      <c r="A45" s="32" t="s">
        <v>14</v>
      </c>
      <c r="B45" s="79">
        <v>50801</v>
      </c>
      <c r="C45" s="71">
        <v>-0.7599</v>
      </c>
      <c r="D45" s="79">
        <v>105263</v>
      </c>
      <c r="E45" s="71">
        <v>1.0721</v>
      </c>
      <c r="F45" s="79">
        <v>126614</v>
      </c>
      <c r="G45" s="71">
        <v>0.2028</v>
      </c>
      <c r="H45" s="79">
        <v>130432</v>
      </c>
      <c r="I45" s="71">
        <v>0.0302</v>
      </c>
    </row>
    <row r="46" spans="1:9" ht="12">
      <c r="A46" s="32" t="s">
        <v>15</v>
      </c>
      <c r="B46" s="79">
        <v>56332</v>
      </c>
      <c r="C46" s="71">
        <v>-0.7614</v>
      </c>
      <c r="D46" s="79">
        <v>120404</v>
      </c>
      <c r="E46" s="71">
        <v>1.1374</v>
      </c>
      <c r="F46" s="79">
        <v>153147</v>
      </c>
      <c r="G46" s="71">
        <v>0.2719</v>
      </c>
      <c r="H46" s="79">
        <v>148071</v>
      </c>
      <c r="I46" s="71">
        <v>-0.0331</v>
      </c>
    </row>
    <row r="47" spans="1:9" ht="12">
      <c r="A47" s="32" t="s">
        <v>16</v>
      </c>
      <c r="B47" s="79">
        <v>50925</v>
      </c>
      <c r="C47" s="71">
        <v>-0.7861</v>
      </c>
      <c r="D47" s="79">
        <v>107075</v>
      </c>
      <c r="E47" s="71">
        <v>1.1026</v>
      </c>
      <c r="F47" s="79">
        <v>135946</v>
      </c>
      <c r="G47" s="71">
        <v>0.2696</v>
      </c>
      <c r="H47" s="79">
        <v>145761</v>
      </c>
      <c r="I47" s="71">
        <v>0.0722</v>
      </c>
    </row>
    <row r="48" spans="1:9" ht="12">
      <c r="A48" s="32" t="s">
        <v>17</v>
      </c>
      <c r="B48" s="79">
        <v>106775</v>
      </c>
      <c r="C48" s="71">
        <v>-0.3624</v>
      </c>
      <c r="D48" s="79">
        <v>116951</v>
      </c>
      <c r="E48" s="71">
        <v>0.0953</v>
      </c>
      <c r="F48" s="79">
        <v>116458</v>
      </c>
      <c r="G48" s="71">
        <v>-0.0042</v>
      </c>
      <c r="H48" s="79">
        <f>'Monthly receipts from State'!$D$41</f>
        <v>166290.45</v>
      </c>
      <c r="I48" s="71">
        <f>H48/F48-1</f>
        <v>0.42790061653128175</v>
      </c>
    </row>
    <row r="49" ht="12.75">
      <c r="A49"/>
    </row>
    <row r="50" spans="1:12" ht="12.75">
      <c r="A50" s="35" t="s">
        <v>139</v>
      </c>
      <c r="B50" s="72"/>
      <c r="C50"/>
      <c r="D50" s="72"/>
      <c r="E50"/>
      <c r="F50" s="202">
        <f>SUM(F37:F48)</f>
        <v>1556747</v>
      </c>
      <c r="G50" s="203"/>
      <c r="H50" s="202">
        <f>SUM(H37:H48)</f>
        <v>1541534.45</v>
      </c>
      <c r="I50" s="203">
        <f>H50/(SUM(F37:F48))-1</f>
        <v>-0.009772011765559863</v>
      </c>
      <c r="L50" s="183"/>
    </row>
    <row r="51" spans="1:9" ht="11.25">
      <c r="A51" s="36" t="s">
        <v>123</v>
      </c>
      <c r="B51" s="168">
        <f>SUM(B37:B50)</f>
        <v>1325706</v>
      </c>
      <c r="C51" s="121">
        <v>-0.4386</v>
      </c>
      <c r="D51" s="122">
        <f>SUM(D37:D48)</f>
        <v>1381402</v>
      </c>
      <c r="E51" s="71">
        <f>D51/B51-1</f>
        <v>0.04201233154258932</v>
      </c>
      <c r="F51" s="122">
        <f>SUM(F37:F48)</f>
        <v>1556747</v>
      </c>
      <c r="G51" s="71">
        <f>F51/(SUM(D37:D48))-1</f>
        <v>0.12693263800110333</v>
      </c>
      <c r="H51" s="122"/>
      <c r="I51" s="71"/>
    </row>
    <row r="52" spans="5:8" ht="11.25">
      <c r="E52" s="34" t="s">
        <v>19</v>
      </c>
      <c r="G52" s="34" t="s">
        <v>19</v>
      </c>
      <c r="H52" s="34" t="s">
        <v>19</v>
      </c>
    </row>
    <row r="53" spans="1:9" ht="11.25">
      <c r="A53" s="36" t="s">
        <v>129</v>
      </c>
      <c r="B53" s="168">
        <v>2062000</v>
      </c>
      <c r="C53" s="71">
        <f>B51/B53</f>
        <v>0.6429224054316198</v>
      </c>
      <c r="D53" s="124">
        <v>1378000</v>
      </c>
      <c r="E53" s="71">
        <f>D51/D53</f>
        <v>1.0024687953555877</v>
      </c>
      <c r="F53" s="124">
        <v>2017000</v>
      </c>
      <c r="G53" s="71">
        <f>F51/F53</f>
        <v>0.7718130887456619</v>
      </c>
      <c r="H53" s="124">
        <v>1426000</v>
      </c>
      <c r="I53" s="71">
        <f>H50/H53</f>
        <v>1.081019950911641</v>
      </c>
    </row>
  </sheetData>
  <sheetProtection/>
  <printOptions horizontalCentered="1"/>
  <pageMargins left="0" right="0" top="1" bottom="1" header="0.5" footer="0.5"/>
  <pageSetup fitToHeight="1" fitToWidth="1" horizontalDpi="600" verticalDpi="600" orientation="portrait" scale="96" r:id="rId3"/>
  <headerFooter alignWithMargins="0">
    <oddFooter>&amp;CPage 5
</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18" sqref="E18"/>
    </sheetView>
  </sheetViews>
  <sheetFormatPr defaultColWidth="9.00390625" defaultRowHeight="12.75"/>
  <cols>
    <col min="1" max="1" width="10.00390625" style="5" customWidth="1"/>
    <col min="2" max="2" width="11.75390625" style="5" customWidth="1"/>
    <col min="3" max="3" width="10.75390625" style="5" customWidth="1"/>
    <col min="4" max="4" width="12.00390625" style="5" customWidth="1"/>
    <col min="5" max="5" width="13.25390625" style="5" customWidth="1"/>
    <col min="6" max="16384" width="9.125" style="5" customWidth="1"/>
  </cols>
  <sheetData>
    <row r="1" spans="1:5" ht="12.75">
      <c r="A1" s="6" t="s">
        <v>27</v>
      </c>
      <c r="B1" s="1"/>
      <c r="C1" s="1"/>
      <c r="D1" s="1"/>
      <c r="E1" s="1"/>
    </row>
    <row r="2" spans="1:5" ht="12.75">
      <c r="A2" s="2" t="s">
        <v>28</v>
      </c>
      <c r="B2" s="1"/>
      <c r="C2" s="1"/>
      <c r="D2" s="1"/>
      <c r="E2" s="1"/>
    </row>
    <row r="3" spans="1:5" ht="12.75">
      <c r="A3" s="1"/>
      <c r="B3" s="1"/>
      <c r="C3" s="2"/>
      <c r="D3" s="1"/>
      <c r="E3" s="1"/>
    </row>
    <row r="4" spans="1:5" ht="12.75">
      <c r="A4" s="1"/>
      <c r="B4" s="1"/>
      <c r="C4" s="2"/>
      <c r="D4" s="1"/>
      <c r="E4" s="1"/>
    </row>
    <row r="5" spans="1:5" ht="12.75">
      <c r="A5" s="1" t="s">
        <v>29</v>
      </c>
      <c r="B5" s="209" t="s">
        <v>213</v>
      </c>
      <c r="C5" s="209" t="s">
        <v>218</v>
      </c>
      <c r="D5" s="209" t="s">
        <v>230</v>
      </c>
      <c r="E5" s="209" t="s">
        <v>241</v>
      </c>
    </row>
    <row r="6" spans="1:5" ht="12.75">
      <c r="A6" s="2" t="s">
        <v>6</v>
      </c>
      <c r="B6" s="79">
        <v>14161431</v>
      </c>
      <c r="C6" s="79">
        <v>13882548</v>
      </c>
      <c r="D6" s="79">
        <v>14696105</v>
      </c>
      <c r="E6" s="79">
        <v>14532204</v>
      </c>
    </row>
    <row r="7" spans="1:5" ht="12.75">
      <c r="A7" s="2" t="s">
        <v>7</v>
      </c>
      <c r="B7" s="79">
        <v>13479014</v>
      </c>
      <c r="C7" s="79">
        <v>12888503</v>
      </c>
      <c r="D7" s="79">
        <v>13036420</v>
      </c>
      <c r="E7" s="79">
        <v>13521840</v>
      </c>
    </row>
    <row r="8" spans="1:5" ht="12.75">
      <c r="A8" s="2" t="s">
        <v>8</v>
      </c>
      <c r="B8" s="79">
        <v>12573976</v>
      </c>
      <c r="C8" s="79">
        <v>13053024</v>
      </c>
      <c r="D8" s="79">
        <v>12790301</v>
      </c>
      <c r="E8" s="79">
        <v>13968963</v>
      </c>
    </row>
    <row r="9" spans="1:5" ht="12.75">
      <c r="A9" s="2" t="s">
        <v>9</v>
      </c>
      <c r="B9" s="79">
        <v>12969392</v>
      </c>
      <c r="C9" s="79">
        <v>15488216</v>
      </c>
      <c r="D9" s="79">
        <v>13498915</v>
      </c>
      <c r="E9" s="79">
        <v>13208737</v>
      </c>
    </row>
    <row r="10" spans="1:5" ht="12.75">
      <c r="A10" s="2" t="s">
        <v>10</v>
      </c>
      <c r="B10" s="79">
        <v>12611217</v>
      </c>
      <c r="C10" s="79">
        <v>11099537</v>
      </c>
      <c r="D10" s="79">
        <v>12996235</v>
      </c>
      <c r="E10" s="79">
        <v>13811017</v>
      </c>
    </row>
    <row r="11" spans="1:5" ht="12.75">
      <c r="A11" s="2" t="s">
        <v>11</v>
      </c>
      <c r="B11" s="79">
        <v>12025247</v>
      </c>
      <c r="C11" s="79">
        <v>12527445</v>
      </c>
      <c r="D11" s="79">
        <v>12913125</v>
      </c>
      <c r="E11" s="79">
        <v>13142111</v>
      </c>
    </row>
    <row r="12" spans="1:5" ht="12.75">
      <c r="A12" s="2" t="s">
        <v>12</v>
      </c>
      <c r="B12" s="79">
        <v>14122727</v>
      </c>
      <c r="C12" s="79">
        <v>14997820</v>
      </c>
      <c r="D12" s="79">
        <v>14865527</v>
      </c>
      <c r="E12" s="79">
        <v>15078110</v>
      </c>
    </row>
    <row r="13" spans="1:5" ht="12.75">
      <c r="A13" s="2" t="s">
        <v>13</v>
      </c>
      <c r="B13" s="79">
        <v>12444820</v>
      </c>
      <c r="C13" s="79">
        <v>12284131</v>
      </c>
      <c r="D13" s="79">
        <v>12722330</v>
      </c>
      <c r="E13" s="79">
        <v>13098897</v>
      </c>
    </row>
    <row r="14" spans="1:5" ht="12.75">
      <c r="A14" s="2" t="s">
        <v>14</v>
      </c>
      <c r="B14" s="79">
        <v>12598527</v>
      </c>
      <c r="C14" s="79">
        <v>11973148</v>
      </c>
      <c r="D14" s="79">
        <v>12042342</v>
      </c>
      <c r="E14" s="79">
        <v>12733277</v>
      </c>
    </row>
    <row r="15" spans="1:5" ht="12.75">
      <c r="A15" s="2" t="s">
        <v>15</v>
      </c>
      <c r="B15" s="79">
        <v>13505339</v>
      </c>
      <c r="C15" s="79">
        <v>13569945</v>
      </c>
      <c r="D15" s="79">
        <v>14459515</v>
      </c>
      <c r="E15" s="79">
        <v>14371942</v>
      </c>
    </row>
    <row r="16" spans="1:5" ht="12.75">
      <c r="A16" s="2" t="s">
        <v>16</v>
      </c>
      <c r="B16" s="79">
        <v>12230656</v>
      </c>
      <c r="C16" s="79">
        <v>12534933</v>
      </c>
      <c r="D16" s="79">
        <v>13224392</v>
      </c>
      <c r="E16" s="79">
        <v>13922537</v>
      </c>
    </row>
    <row r="17" spans="1:5" ht="12.75">
      <c r="A17" s="2" t="s">
        <v>17</v>
      </c>
      <c r="B17" s="79">
        <v>12500759</v>
      </c>
      <c r="C17" s="79">
        <v>13230001</v>
      </c>
      <c r="D17" s="79">
        <v>16716542</v>
      </c>
      <c r="E17" s="79">
        <f>'Monthly receipts from State'!$F$25</f>
        <v>13886139.52</v>
      </c>
    </row>
    <row r="18" spans="2:5" ht="12.75">
      <c r="B18" s="80"/>
      <c r="C18" s="80"/>
      <c r="D18" s="80"/>
      <c r="E18" s="1"/>
    </row>
  </sheetData>
  <sheetProtection/>
  <printOptions gridLines="1" headings="1"/>
  <pageMargins left="0.75" right="0.75" top="1" bottom="1" header="0.5" footer="0.5"/>
  <pageSetup fitToWidth="0" fitToHeight="1"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J42"/>
  <sheetViews>
    <sheetView zoomScale="110" zoomScaleNormal="110" zoomScalePageLayoutView="0" workbookViewId="0" topLeftCell="A1">
      <selection activeCell="I22" sqref="I22"/>
    </sheetView>
  </sheetViews>
  <sheetFormatPr defaultColWidth="8.875" defaultRowHeight="12.75"/>
  <cols>
    <col min="1" max="1" width="8.25390625" style="4" customWidth="1"/>
    <col min="2" max="2" width="11.75390625" style="4" customWidth="1"/>
    <col min="3" max="3" width="11.25390625" style="4" customWidth="1"/>
    <col min="4" max="4" width="12.75390625" style="4" customWidth="1"/>
    <col min="5" max="5" width="11.25390625" style="4" customWidth="1"/>
    <col min="6" max="6" width="12.00390625" style="4" customWidth="1"/>
    <col min="7" max="7" width="11.25390625" style="4" customWidth="1"/>
    <col min="8" max="8" width="12.375" style="4" customWidth="1"/>
    <col min="9" max="9" width="10.75390625" style="4" customWidth="1"/>
    <col min="10" max="10" width="10.125" style="4" bestFit="1" customWidth="1"/>
    <col min="11" max="16384" width="8.875" style="4" customWidth="1"/>
  </cols>
  <sheetData>
    <row r="1" ht="11.25"/>
    <row r="2" spans="3:7" ht="15.75">
      <c r="C2" s="169" t="s">
        <v>156</v>
      </c>
      <c r="D2" s="169"/>
      <c r="E2" s="169"/>
      <c r="F2" s="169"/>
      <c r="G2" s="169"/>
    </row>
    <row r="3" spans="1:3" ht="11.25">
      <c r="A3" s="73" t="s">
        <v>30</v>
      </c>
      <c r="B3" s="36"/>
      <c r="C3" s="36"/>
    </row>
    <row r="4" spans="1:3" ht="11.25">
      <c r="A4" s="35"/>
      <c r="B4" s="36"/>
      <c r="C4" s="36"/>
    </row>
    <row r="5" spans="1:10" ht="11.25">
      <c r="A5" s="67"/>
      <c r="B5" s="67"/>
      <c r="C5" s="67" t="s">
        <v>3</v>
      </c>
      <c r="D5" s="67"/>
      <c r="E5" s="67" t="s">
        <v>3</v>
      </c>
      <c r="F5" s="67"/>
      <c r="G5" s="67" t="s">
        <v>3</v>
      </c>
      <c r="H5" s="67"/>
      <c r="I5" s="67" t="s">
        <v>3</v>
      </c>
      <c r="J5" s="67"/>
    </row>
    <row r="6" spans="1:10" ht="11.25">
      <c r="A6" s="67"/>
      <c r="B6" s="67"/>
      <c r="C6" s="67" t="s">
        <v>4</v>
      </c>
      <c r="D6" s="67"/>
      <c r="E6" s="67" t="s">
        <v>4</v>
      </c>
      <c r="F6" s="67"/>
      <c r="G6" s="67" t="s">
        <v>4</v>
      </c>
      <c r="H6" s="67"/>
      <c r="I6" s="67" t="s">
        <v>4</v>
      </c>
      <c r="J6" s="67"/>
    </row>
    <row r="7" spans="1:10" ht="11.25">
      <c r="A7" s="67" t="s">
        <v>5</v>
      </c>
      <c r="B7" s="67" t="s">
        <v>211</v>
      </c>
      <c r="C7" s="67" t="s">
        <v>212</v>
      </c>
      <c r="D7" s="67" t="s">
        <v>216</v>
      </c>
      <c r="E7" s="67" t="s">
        <v>217</v>
      </c>
      <c r="F7" s="67" t="s">
        <v>228</v>
      </c>
      <c r="G7" s="67" t="s">
        <v>229</v>
      </c>
      <c r="H7" s="67" t="s">
        <v>239</v>
      </c>
      <c r="I7" s="67" t="s">
        <v>240</v>
      </c>
      <c r="J7" s="67"/>
    </row>
    <row r="8" spans="1:10" ht="11.25">
      <c r="A8" s="32"/>
      <c r="B8" s="70"/>
      <c r="C8" s="34"/>
      <c r="D8" s="70"/>
      <c r="E8" s="34"/>
      <c r="F8" s="70"/>
      <c r="G8" s="34"/>
      <c r="H8" s="70"/>
      <c r="I8" s="34"/>
      <c r="J8" s="34"/>
    </row>
    <row r="9" spans="1:10" ht="11.25">
      <c r="A9" s="32" t="s">
        <v>6</v>
      </c>
      <c r="B9" s="70">
        <v>14161431</v>
      </c>
      <c r="C9" s="71">
        <v>0.1444</v>
      </c>
      <c r="D9" s="70">
        <v>13882548</v>
      </c>
      <c r="E9" s="71">
        <v>-0.0197</v>
      </c>
      <c r="F9" s="70">
        <v>14696105</v>
      </c>
      <c r="G9" s="71">
        <v>0.0586</v>
      </c>
      <c r="H9" s="70">
        <v>14532204</v>
      </c>
      <c r="I9" s="71">
        <v>-0.0112</v>
      </c>
      <c r="J9" s="71"/>
    </row>
    <row r="10" spans="1:10" ht="11.25">
      <c r="A10" s="32" t="s">
        <v>7</v>
      </c>
      <c r="B10" s="70">
        <v>13479014</v>
      </c>
      <c r="C10" s="71">
        <v>0.0356</v>
      </c>
      <c r="D10" s="70">
        <v>12888503</v>
      </c>
      <c r="E10" s="71">
        <v>-0.0438</v>
      </c>
      <c r="F10" s="70">
        <v>13036420</v>
      </c>
      <c r="G10" s="71">
        <v>0.0115</v>
      </c>
      <c r="H10" s="70">
        <v>13521840</v>
      </c>
      <c r="I10" s="71">
        <v>0.0372</v>
      </c>
      <c r="J10" s="181"/>
    </row>
    <row r="11" spans="1:10" ht="11.25">
      <c r="A11" s="32" t="s">
        <v>8</v>
      </c>
      <c r="B11" s="70">
        <v>12573976</v>
      </c>
      <c r="C11" s="71">
        <v>0.0025</v>
      </c>
      <c r="D11" s="70">
        <v>13053024</v>
      </c>
      <c r="E11" s="71">
        <v>0.0381</v>
      </c>
      <c r="F11" s="70">
        <v>12790301</v>
      </c>
      <c r="G11" s="71">
        <v>-0.0201</v>
      </c>
      <c r="H11" s="70">
        <v>13968963</v>
      </c>
      <c r="I11" s="71">
        <v>0.0922</v>
      </c>
      <c r="J11" s="72"/>
    </row>
    <row r="12" spans="1:10" ht="11.25">
      <c r="A12" s="32" t="s">
        <v>9</v>
      </c>
      <c r="B12" s="70">
        <v>12969392</v>
      </c>
      <c r="C12" s="71">
        <v>0.0422</v>
      </c>
      <c r="D12" s="70">
        <v>15488216</v>
      </c>
      <c r="E12" s="71">
        <v>0.1942</v>
      </c>
      <c r="F12" s="70">
        <v>13498915</v>
      </c>
      <c r="G12" s="71">
        <v>-0.1284</v>
      </c>
      <c r="H12" s="70">
        <v>13208737</v>
      </c>
      <c r="I12" s="71">
        <v>-0.0215</v>
      </c>
      <c r="J12" s="72"/>
    </row>
    <row r="13" spans="1:10" ht="11.25">
      <c r="A13" s="32" t="s">
        <v>10</v>
      </c>
      <c r="B13" s="70">
        <v>12611217</v>
      </c>
      <c r="C13" s="71">
        <v>-0.0214</v>
      </c>
      <c r="D13" s="70">
        <v>11099537</v>
      </c>
      <c r="E13" s="71">
        <v>-0.1199</v>
      </c>
      <c r="F13" s="70">
        <v>12996235</v>
      </c>
      <c r="G13" s="71">
        <v>0.1709</v>
      </c>
      <c r="H13" s="70">
        <v>13811017</v>
      </c>
      <c r="I13" s="71">
        <v>0.0627</v>
      </c>
      <c r="J13" s="72"/>
    </row>
    <row r="14" spans="1:10" ht="11.25">
      <c r="A14" s="32" t="s">
        <v>20</v>
      </c>
      <c r="B14" s="70">
        <v>12025247</v>
      </c>
      <c r="C14" s="71">
        <v>-0.0272</v>
      </c>
      <c r="D14" s="70">
        <v>12527445</v>
      </c>
      <c r="E14" s="71">
        <v>0.0418</v>
      </c>
      <c r="F14" s="70">
        <v>12913125</v>
      </c>
      <c r="G14" s="71">
        <v>0.0308</v>
      </c>
      <c r="H14" s="70">
        <v>13142111</v>
      </c>
      <c r="I14" s="71">
        <v>0.0177</v>
      </c>
      <c r="J14" s="72"/>
    </row>
    <row r="15" spans="1:10" ht="11.25">
      <c r="A15" s="32" t="s">
        <v>12</v>
      </c>
      <c r="B15" s="70">
        <v>14122727</v>
      </c>
      <c r="C15" s="71">
        <v>-0.0118</v>
      </c>
      <c r="D15" s="70">
        <v>14997820</v>
      </c>
      <c r="E15" s="71">
        <v>0.062</v>
      </c>
      <c r="F15" s="70">
        <v>14865527</v>
      </c>
      <c r="G15" s="71">
        <v>-0.0088</v>
      </c>
      <c r="H15" s="70">
        <v>15078110</v>
      </c>
      <c r="I15" s="71">
        <v>0.0143</v>
      </c>
      <c r="J15" s="71"/>
    </row>
    <row r="16" spans="1:10" ht="11.25">
      <c r="A16" s="32" t="s">
        <v>13</v>
      </c>
      <c r="B16" s="70">
        <v>12444820</v>
      </c>
      <c r="C16" s="71">
        <v>0.0833</v>
      </c>
      <c r="D16" s="70">
        <v>12284131</v>
      </c>
      <c r="E16" s="71">
        <v>-0.0129</v>
      </c>
      <c r="F16" s="70">
        <v>12722330</v>
      </c>
      <c r="G16" s="71">
        <v>0.0357</v>
      </c>
      <c r="H16" s="70">
        <v>13098897</v>
      </c>
      <c r="I16" s="71">
        <v>0.0296</v>
      </c>
      <c r="J16" s="71"/>
    </row>
    <row r="17" spans="1:10" ht="11.25">
      <c r="A17" s="32" t="s">
        <v>14</v>
      </c>
      <c r="B17" s="70">
        <v>12598527</v>
      </c>
      <c r="C17" s="71">
        <v>0.1054</v>
      </c>
      <c r="D17" s="70">
        <v>11973148</v>
      </c>
      <c r="E17" s="71">
        <v>-0.0496</v>
      </c>
      <c r="F17" s="70">
        <v>12042342</v>
      </c>
      <c r="G17" s="71">
        <v>0.0058</v>
      </c>
      <c r="H17" s="70">
        <v>12733277</v>
      </c>
      <c r="I17" s="71">
        <v>0.0574</v>
      </c>
      <c r="J17" s="71"/>
    </row>
    <row r="18" spans="1:10" ht="11.25">
      <c r="A18" s="32" t="s">
        <v>15</v>
      </c>
      <c r="B18" s="70">
        <v>13505339</v>
      </c>
      <c r="C18" s="71">
        <v>0.0099</v>
      </c>
      <c r="D18" s="70">
        <v>13569945</v>
      </c>
      <c r="E18" s="71">
        <v>0.0048</v>
      </c>
      <c r="F18" s="70">
        <v>14459515</v>
      </c>
      <c r="G18" s="71">
        <v>0.0656</v>
      </c>
      <c r="H18" s="70">
        <v>14371942</v>
      </c>
      <c r="I18" s="71">
        <v>-0.0061</v>
      </c>
      <c r="J18" s="71"/>
    </row>
    <row r="19" spans="1:10" ht="11.25">
      <c r="A19" s="32" t="s">
        <v>16</v>
      </c>
      <c r="B19" s="70">
        <v>12230656</v>
      </c>
      <c r="C19" s="71">
        <v>-0.0851</v>
      </c>
      <c r="D19" s="70">
        <v>12534933</v>
      </c>
      <c r="E19" s="71">
        <v>0.0249</v>
      </c>
      <c r="F19" s="70">
        <v>13224392</v>
      </c>
      <c r="G19" s="71">
        <v>0.055</v>
      </c>
      <c r="H19" s="70">
        <v>13922537</v>
      </c>
      <c r="I19" s="71">
        <v>0.0528</v>
      </c>
      <c r="J19" s="71"/>
    </row>
    <row r="20" spans="1:10" ht="11.25">
      <c r="A20" s="32" t="s">
        <v>17</v>
      </c>
      <c r="B20" s="70">
        <v>12500759</v>
      </c>
      <c r="C20" s="71">
        <v>0.0121</v>
      </c>
      <c r="D20" s="70">
        <v>13230001</v>
      </c>
      <c r="E20" s="71">
        <v>0.0583</v>
      </c>
      <c r="F20" s="70">
        <v>16716542</v>
      </c>
      <c r="G20" s="71">
        <v>0.2635</v>
      </c>
      <c r="H20" s="70">
        <f>('Monthly receipts from State'!$F$25)</f>
        <v>13886139.52</v>
      </c>
      <c r="I20" s="71">
        <f>(H20/F20)-1</f>
        <v>-0.16931746290590488</v>
      </c>
      <c r="J20" s="71"/>
    </row>
    <row r="21" ht="11.25">
      <c r="F21" s="70"/>
    </row>
    <row r="22" spans="1:8" ht="11.25">
      <c r="A22" s="35"/>
      <c r="B22" s="36"/>
      <c r="C22" s="36"/>
      <c r="D22" s="36"/>
      <c r="E22" s="36"/>
      <c r="F22" s="36"/>
      <c r="G22" s="36"/>
      <c r="H22" s="36"/>
    </row>
    <row r="23" spans="1:9" ht="11.25">
      <c r="A23" s="35"/>
      <c r="B23" s="36"/>
      <c r="C23" s="36"/>
      <c r="D23" s="36"/>
      <c r="E23" s="36"/>
      <c r="F23" s="36"/>
      <c r="G23" s="36"/>
      <c r="H23" s="36"/>
      <c r="I23" s="37"/>
    </row>
    <row r="24" ht="11.25">
      <c r="A24" s="36"/>
    </row>
    <row r="25" spans="2:7" ht="11.25">
      <c r="B25" s="139"/>
      <c r="C25" s="140"/>
      <c r="E25" s="172"/>
      <c r="F25" s="140"/>
      <c r="G25" s="139"/>
    </row>
    <row r="26" spans="2:7" ht="13.5" customHeight="1">
      <c r="B26" s="141"/>
      <c r="C26" s="140"/>
      <c r="D26" s="140"/>
      <c r="E26" s="173"/>
      <c r="F26" s="140"/>
      <c r="G26" s="142"/>
    </row>
    <row r="27" spans="1:9" ht="11.25">
      <c r="A27" s="170"/>
      <c r="B27" s="171"/>
      <c r="C27" s="171"/>
      <c r="D27" s="171"/>
      <c r="E27" s="171"/>
      <c r="F27" s="171"/>
      <c r="G27" s="171"/>
      <c r="H27" s="171"/>
      <c r="I27" s="171"/>
    </row>
    <row r="28" spans="1:9" ht="11.25">
      <c r="A28" s="35"/>
      <c r="B28" s="143"/>
      <c r="C28" s="143"/>
      <c r="D28" s="143"/>
      <c r="E28" s="143"/>
      <c r="F28" s="144"/>
      <c r="G28" s="144"/>
      <c r="H28" s="144"/>
      <c r="I28" s="144"/>
    </row>
    <row r="29" spans="1:9" ht="11.25">
      <c r="A29" s="32"/>
      <c r="B29" s="143"/>
      <c r="C29" s="143"/>
      <c r="D29" s="143"/>
      <c r="E29" s="143"/>
      <c r="F29" s="70"/>
      <c r="G29" s="70"/>
      <c r="H29" s="70"/>
      <c r="I29" s="70"/>
    </row>
    <row r="30" spans="1:9" ht="11.25">
      <c r="A30" s="32"/>
      <c r="B30" s="143"/>
      <c r="C30" s="143"/>
      <c r="D30" s="143"/>
      <c r="E30" s="143"/>
      <c r="F30" s="70"/>
      <c r="G30" s="70"/>
      <c r="H30" s="70"/>
      <c r="I30" s="70"/>
    </row>
    <row r="31" spans="1:9" ht="11.25">
      <c r="A31" s="32"/>
      <c r="B31" s="143"/>
      <c r="C31" s="143"/>
      <c r="D31" s="143"/>
      <c r="E31" s="143"/>
      <c r="F31" s="70"/>
      <c r="G31" s="70"/>
      <c r="H31" s="70"/>
      <c r="I31" s="70"/>
    </row>
    <row r="32" spans="1:9" ht="11.25">
      <c r="A32" s="32"/>
      <c r="B32" s="143"/>
      <c r="C32" s="143"/>
      <c r="D32" s="143"/>
      <c r="E32" s="143"/>
      <c r="F32" s="70"/>
      <c r="G32" s="70"/>
      <c r="H32" s="70"/>
      <c r="I32" s="70"/>
    </row>
    <row r="33" spans="1:9" ht="11.25">
      <c r="A33" s="32"/>
      <c r="B33" s="143"/>
      <c r="C33" s="143"/>
      <c r="D33" s="143"/>
      <c r="E33" s="174"/>
      <c r="F33" s="70"/>
      <c r="G33" s="70"/>
      <c r="H33" s="70"/>
      <c r="I33" s="70"/>
    </row>
    <row r="34" spans="1:9" ht="11.25">
      <c r="A34" s="32"/>
      <c r="B34" s="143"/>
      <c r="C34" s="143"/>
      <c r="D34" s="143"/>
      <c r="E34" s="174"/>
      <c r="F34" s="70"/>
      <c r="G34" s="70"/>
      <c r="H34" s="70"/>
      <c r="I34" s="70"/>
    </row>
    <row r="35" spans="1:9" ht="11.25">
      <c r="A35" s="32"/>
      <c r="B35" s="143"/>
      <c r="C35" s="143"/>
      <c r="D35" s="143"/>
      <c r="E35" s="174"/>
      <c r="F35" s="70"/>
      <c r="G35" s="70"/>
      <c r="H35" s="70"/>
      <c r="I35" s="70"/>
    </row>
    <row r="36" spans="1:10" ht="11.25">
      <c r="A36" s="32"/>
      <c r="B36" s="143"/>
      <c r="C36" s="143"/>
      <c r="D36" s="143"/>
      <c r="E36" s="174"/>
      <c r="F36" s="70"/>
      <c r="G36" s="70"/>
      <c r="H36" s="70"/>
      <c r="I36" s="70"/>
      <c r="J36" s="125"/>
    </row>
    <row r="37" spans="1:10" ht="11.25">
      <c r="A37" s="32"/>
      <c r="B37" s="143"/>
      <c r="C37" s="143"/>
      <c r="D37" s="143"/>
      <c r="E37" s="174"/>
      <c r="F37" s="70"/>
      <c r="G37" s="70"/>
      <c r="H37" s="70"/>
      <c r="I37" s="70"/>
      <c r="J37" s="145"/>
    </row>
    <row r="38" spans="1:9" ht="11.25">
      <c r="A38" s="32"/>
      <c r="B38" s="143"/>
      <c r="C38" s="143"/>
      <c r="D38" s="143"/>
      <c r="E38" s="174"/>
      <c r="F38" s="70"/>
      <c r="G38" s="70"/>
      <c r="H38" s="70"/>
      <c r="I38" s="70"/>
    </row>
    <row r="39" spans="1:9" ht="11.25">
      <c r="A39" s="32"/>
      <c r="B39" s="143"/>
      <c r="C39" s="143"/>
      <c r="D39" s="143"/>
      <c r="E39" s="174"/>
      <c r="F39" s="70"/>
      <c r="G39" s="70"/>
      <c r="H39" s="70"/>
      <c r="I39" s="70"/>
    </row>
    <row r="40" spans="1:9" ht="11.25">
      <c r="A40" s="32"/>
      <c r="B40" s="143"/>
      <c r="C40" s="143"/>
      <c r="D40" s="143"/>
      <c r="E40" s="174"/>
      <c r="F40" s="70"/>
      <c r="G40" s="70"/>
      <c r="H40" s="70"/>
      <c r="I40" s="70"/>
    </row>
    <row r="41" spans="6:9" ht="11.25">
      <c r="F41" s="70"/>
      <c r="G41" s="70"/>
      <c r="H41" s="70"/>
      <c r="I41" s="70"/>
    </row>
    <row r="42" spans="1:9" ht="11.25">
      <c r="A42" s="67"/>
      <c r="B42" s="72"/>
      <c r="C42" s="72"/>
      <c r="D42" s="72"/>
      <c r="E42" s="72"/>
      <c r="F42" s="72"/>
      <c r="G42" s="72"/>
      <c r="H42" s="72"/>
      <c r="I42" s="72"/>
    </row>
  </sheetData>
  <sheetProtection/>
  <printOptions/>
  <pageMargins left="0" right="0" top="1" bottom="1" header="0.5" footer="0.5"/>
  <pageSetup fitToHeight="1" fitToWidth="1" horizontalDpi="600" verticalDpi="600" orientation="portrait" r:id="rId3"/>
  <headerFooter alignWithMargins="0">
    <oddFooter>&amp;CPage 7</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workbookViewId="0" topLeftCell="A11">
      <selection activeCell="D23" sqref="D23:D33"/>
    </sheetView>
  </sheetViews>
  <sheetFormatPr defaultColWidth="9.00390625" defaultRowHeight="12.75"/>
  <cols>
    <col min="1" max="1" width="5.625" style="5" customWidth="1"/>
    <col min="2" max="2" width="13.00390625" style="5" customWidth="1"/>
    <col min="3" max="3" width="23.75390625" style="5" customWidth="1"/>
    <col min="4" max="4" width="15.25390625" style="5" customWidth="1"/>
    <col min="5" max="5" width="11.375" style="5" customWidth="1"/>
    <col min="6" max="6" width="31.25390625" style="5" customWidth="1"/>
    <col min="7" max="7" width="16.00390625" style="5" customWidth="1"/>
    <col min="8" max="16384" width="9.125" style="5" customWidth="1"/>
  </cols>
  <sheetData>
    <row r="1" spans="1:9" ht="20.25">
      <c r="A1" s="346" t="s">
        <v>48</v>
      </c>
      <c r="B1" s="346"/>
      <c r="C1" s="346"/>
      <c r="D1" s="346"/>
      <c r="E1" s="346"/>
      <c r="F1" s="346"/>
      <c r="G1" s="17"/>
      <c r="H1" s="18"/>
      <c r="I1" s="12"/>
    </row>
    <row r="2" spans="1:9" s="22" customFormat="1" ht="15.75">
      <c r="A2" s="345" t="s">
        <v>49</v>
      </c>
      <c r="B2" s="345"/>
      <c r="C2" s="345"/>
      <c r="D2" s="345"/>
      <c r="E2" s="345"/>
      <c r="F2" s="345"/>
      <c r="G2" s="13"/>
      <c r="H2" s="21"/>
      <c r="I2" s="21"/>
    </row>
    <row r="3" spans="1:9" ht="18.75">
      <c r="A3" s="344">
        <f>'Monthly receipts from State'!$G$8</f>
        <v>43661</v>
      </c>
      <c r="B3" s="344"/>
      <c r="C3" s="344"/>
      <c r="D3" s="344"/>
      <c r="E3" s="344"/>
      <c r="F3" s="344"/>
      <c r="G3" s="29"/>
      <c r="H3" s="12"/>
      <c r="I3" s="12"/>
    </row>
    <row r="4" spans="3:6" ht="12.75">
      <c r="C4" s="16"/>
      <c r="E4" s="16"/>
      <c r="F4" s="16"/>
    </row>
    <row r="5" spans="2:6" ht="12.75">
      <c r="B5" s="28" t="s">
        <v>50</v>
      </c>
      <c r="C5" s="6"/>
      <c r="F5" s="40"/>
    </row>
    <row r="7" spans="2:3" ht="12.75">
      <c r="B7" s="28" t="s">
        <v>51</v>
      </c>
      <c r="C7" s="204" t="s">
        <v>235</v>
      </c>
    </row>
    <row r="9" spans="2:3" ht="12.75">
      <c r="B9" s="28" t="s">
        <v>52</v>
      </c>
      <c r="C9" s="204" t="s">
        <v>272</v>
      </c>
    </row>
    <row r="10" spans="3:4" ht="12.75">
      <c r="C10" s="204" t="s">
        <v>273</v>
      </c>
      <c r="D10" s="40"/>
    </row>
    <row r="12" spans="2:3" ht="12.75">
      <c r="B12" s="28" t="s">
        <v>53</v>
      </c>
      <c r="C12" s="8" t="s">
        <v>54</v>
      </c>
    </row>
    <row r="14" ht="12.75">
      <c r="B14" s="8" t="s">
        <v>55</v>
      </c>
    </row>
    <row r="15" ht="12.75">
      <c r="B15" s="322" t="s">
        <v>274</v>
      </c>
    </row>
    <row r="17" ht="12.75">
      <c r="B17" s="307" t="s">
        <v>275</v>
      </c>
    </row>
    <row r="19" spans="2:6" ht="12.75">
      <c r="B19" s="46" t="s">
        <v>90</v>
      </c>
      <c r="C19" s="85" t="str">
        <f>'Monthly receipts from State'!D8</f>
        <v>June</v>
      </c>
      <c r="E19" s="43" t="s">
        <v>43</v>
      </c>
      <c r="F19" s="323">
        <f>'Monthly receipts from State'!$D$23</f>
        <v>38284979.17</v>
      </c>
    </row>
    <row r="21" spans="2:8" ht="12.75">
      <c r="B21" s="47"/>
      <c r="D21" s="48" t="s">
        <v>56</v>
      </c>
      <c r="E21" s="19"/>
      <c r="F21" s="49" t="s">
        <v>57</v>
      </c>
      <c r="H21" s="47"/>
    </row>
    <row r="22" ht="12.75">
      <c r="F22" s="18"/>
    </row>
    <row r="23" spans="2:6" ht="12.75">
      <c r="B23" s="8" t="s">
        <v>58</v>
      </c>
      <c r="D23" s="9">
        <f>'Monthly receipts from State'!D25</f>
        <v>13910380.044893999</v>
      </c>
      <c r="E23" s="9"/>
      <c r="F23" s="9">
        <f>'Monthly receipts from State'!F25</f>
        <v>13886139.52</v>
      </c>
    </row>
    <row r="24" spans="2:6" ht="12.75">
      <c r="B24" s="204" t="s">
        <v>258</v>
      </c>
      <c r="D24" s="9">
        <f>'Monthly receipts from State'!D26</f>
        <v>3130389.335106</v>
      </c>
      <c r="E24" s="9"/>
      <c r="F24" s="9">
        <f>'Monthly receipts from State'!F26</f>
        <v>3124934.25</v>
      </c>
    </row>
    <row r="25" spans="2:6" ht="12.75">
      <c r="B25" s="204" t="s">
        <v>259</v>
      </c>
      <c r="D25" s="9">
        <f>+'Monthly receipts from State'!D27</f>
        <v>4881792.51</v>
      </c>
      <c r="E25" s="9"/>
      <c r="F25" s="9">
        <f>+'Monthly receipts from State'!F27</f>
        <v>4722804.83</v>
      </c>
    </row>
    <row r="26" spans="2:6" ht="12.75">
      <c r="B26" s="204" t="s">
        <v>254</v>
      </c>
      <c r="D26" s="9">
        <f>'Monthly receipts from State'!D28</f>
        <v>7010323.334074074</v>
      </c>
      <c r="E26" s="9"/>
      <c r="F26" s="9">
        <f>'Monthly receipts from State'!F28</f>
        <v>6996687.599074074</v>
      </c>
    </row>
    <row r="27" spans="2:7" ht="12.75">
      <c r="B27" s="204" t="s">
        <v>252</v>
      </c>
      <c r="D27" s="9">
        <f>'Monthly receipts from State'!$D$30</f>
        <v>3474083.058888889</v>
      </c>
      <c r="E27" s="10"/>
      <c r="F27" s="9">
        <f>'Monthly receipts from State'!$F$30</f>
        <v>3360526.880488889</v>
      </c>
      <c r="G27" s="9"/>
    </row>
    <row r="28" spans="2:7" ht="12.75">
      <c r="B28" s="204" t="s">
        <v>253</v>
      </c>
      <c r="D28" s="9">
        <f>'Monthly receipts from State'!$D$31</f>
        <v>3505161.667037037</v>
      </c>
      <c r="E28" s="10"/>
      <c r="F28" s="9">
        <f>'Monthly receipts from State'!$F$31</f>
        <v>3389969.2004370373</v>
      </c>
      <c r="G28" s="9"/>
    </row>
    <row r="29" spans="2:7" ht="12.75">
      <c r="B29" s="204" t="s">
        <v>255</v>
      </c>
      <c r="D29" s="9">
        <f>'Monthly receipts from State'!D32</f>
        <v>867391.23</v>
      </c>
      <c r="E29" s="10"/>
      <c r="F29" s="9">
        <f>'Monthly receipts from State'!F32</f>
        <v>839024.83</v>
      </c>
      <c r="G29" s="9"/>
    </row>
    <row r="30" spans="2:7" ht="12.75">
      <c r="B30" s="204" t="s">
        <v>248</v>
      </c>
      <c r="D30" s="9">
        <f>'Monthly receipts from State'!D29</f>
        <v>1635995.03</v>
      </c>
      <c r="E30" s="10"/>
      <c r="F30" s="9">
        <f>'Monthly receipts from State'!F29</f>
        <v>1582644.59</v>
      </c>
      <c r="G30" s="9"/>
    </row>
    <row r="31" spans="2:7" ht="12.75">
      <c r="B31" s="204" t="s">
        <v>256</v>
      </c>
      <c r="D31" s="9">
        <f>'Monthly receipts from State'!D41</f>
        <v>166290.45</v>
      </c>
      <c r="E31" s="10"/>
      <c r="F31" s="9">
        <f>'Monthly receipts from State'!F41</f>
        <v>166290.45</v>
      </c>
      <c r="G31" s="9"/>
    </row>
    <row r="32" spans="2:6" ht="12.75">
      <c r="B32" s="204" t="s">
        <v>249</v>
      </c>
      <c r="D32" s="9">
        <f>'Monthly receipts from State'!D36</f>
        <v>215957.02</v>
      </c>
      <c r="E32" s="10"/>
      <c r="F32" s="9">
        <f>'Monthly receipts from State'!F36</f>
        <v>215957.02</v>
      </c>
    </row>
    <row r="33" spans="2:7" ht="12.75">
      <c r="B33" s="204" t="s">
        <v>250</v>
      </c>
      <c r="D33" s="9">
        <f>'Monthly receipts from State'!D33</f>
        <v>-512784.51</v>
      </c>
      <c r="E33" s="10"/>
      <c r="G33" s="9"/>
    </row>
    <row r="34" spans="2:7" ht="12.75">
      <c r="B34" s="204" t="s">
        <v>251</v>
      </c>
      <c r="D34" s="9"/>
      <c r="E34" s="10"/>
      <c r="G34" s="156"/>
    </row>
    <row r="35" spans="2:7" ht="12.75">
      <c r="B35" s="204"/>
      <c r="D35" s="9"/>
      <c r="E35" s="11"/>
      <c r="F35" s="9"/>
      <c r="G35" s="290"/>
    </row>
    <row r="36" ht="12.75">
      <c r="F36" s="9"/>
    </row>
    <row r="38" ht="12.75">
      <c r="B38" s="8" t="s">
        <v>131</v>
      </c>
    </row>
    <row r="39" spans="2:8" ht="12.75">
      <c r="B39" s="204" t="s">
        <v>244</v>
      </c>
      <c r="H39" s="10"/>
    </row>
    <row r="40" spans="2:9" ht="12.75">
      <c r="B40" s="204" t="s">
        <v>245</v>
      </c>
      <c r="I40" s="10"/>
    </row>
    <row r="41" ht="12.75">
      <c r="I41" s="10"/>
    </row>
    <row r="42" spans="2:9" ht="12.75">
      <c r="B42" s="195" t="s">
        <v>232</v>
      </c>
      <c r="I42" s="10"/>
    </row>
    <row r="43" spans="2:9" ht="12.75" customHeight="1">
      <c r="B43" s="195" t="s">
        <v>233</v>
      </c>
      <c r="I43" s="10"/>
    </row>
    <row r="44" spans="2:9" ht="12.75">
      <c r="B44" s="204" t="s">
        <v>234</v>
      </c>
      <c r="I44" s="10"/>
    </row>
    <row r="45" spans="2:9" ht="12.75">
      <c r="B45" s="204" t="s">
        <v>235</v>
      </c>
      <c r="I45" s="10"/>
    </row>
    <row r="46" spans="2:9" ht="12.75">
      <c r="B46" s="204" t="s">
        <v>270</v>
      </c>
      <c r="I46" s="10"/>
    </row>
    <row r="47" spans="2:9" ht="12.75">
      <c r="B47" s="204" t="s">
        <v>271</v>
      </c>
      <c r="I47" s="10"/>
    </row>
    <row r="48" spans="2:9" ht="12.75">
      <c r="B48" s="8" t="s">
        <v>147</v>
      </c>
      <c r="I48" s="10"/>
    </row>
    <row r="49" spans="2:9" ht="12.75">
      <c r="B49" s="8" t="s">
        <v>144</v>
      </c>
      <c r="I49" s="10"/>
    </row>
    <row r="50" ht="12.75">
      <c r="B50" s="204" t="s">
        <v>238</v>
      </c>
    </row>
    <row r="51" ht="12.75" customHeight="1">
      <c r="B51" s="8" t="s">
        <v>185</v>
      </c>
    </row>
    <row r="52" spans="2:6" ht="12.75">
      <c r="B52" s="204" t="s">
        <v>276</v>
      </c>
      <c r="F52" s="12"/>
    </row>
    <row r="53" ht="12.75" customHeight="1">
      <c r="B53" s="8"/>
    </row>
    <row r="54" ht="12.75">
      <c r="B54" s="8" t="s">
        <v>47</v>
      </c>
    </row>
    <row r="55" ht="12.75">
      <c r="B55" s="8"/>
    </row>
    <row r="56" ht="409.5">
      <c r="B56" s="8"/>
    </row>
    <row r="57" ht="12.75" customHeight="1"/>
    <row r="58" spans="2:9" ht="15" customHeight="1">
      <c r="B58" s="28" t="s">
        <v>59</v>
      </c>
      <c r="I58" s="10"/>
    </row>
    <row r="59" ht="15" customHeight="1">
      <c r="C59" s="195" t="s">
        <v>208</v>
      </c>
    </row>
  </sheetData>
  <sheetProtection/>
  <mergeCells count="3">
    <mergeCell ref="A3:F3"/>
    <mergeCell ref="A2:F2"/>
    <mergeCell ref="A1:F1"/>
  </mergeCells>
  <printOptions verticalCentered="1"/>
  <pageMargins left="0" right="0" top="0" bottom="0" header="0" footer="0"/>
  <pageSetup fitToHeight="1" fitToWidth="1" horizontalDpi="1200" verticalDpi="1200" orientation="portrait" scale="90" r:id="rId1"/>
</worksheet>
</file>

<file path=xl/worksheets/sheet15.xml><?xml version="1.0" encoding="utf-8"?>
<worksheet xmlns="http://schemas.openxmlformats.org/spreadsheetml/2006/main" xmlns:r="http://schemas.openxmlformats.org/officeDocument/2006/relationships">
  <sheetPr>
    <pageSetUpPr fitToPage="1"/>
  </sheetPr>
  <dimension ref="A1:N67"/>
  <sheetViews>
    <sheetView zoomScale="110" zoomScaleNormal="110" zoomScalePageLayoutView="0" workbookViewId="0" topLeftCell="A31">
      <selection activeCell="G36" sqref="G36"/>
    </sheetView>
  </sheetViews>
  <sheetFormatPr defaultColWidth="9.00390625" defaultRowHeight="12.75"/>
  <cols>
    <col min="1" max="1" width="9.125" style="5" customWidth="1"/>
    <col min="2" max="2" width="13.375" style="5" customWidth="1"/>
    <col min="3" max="3" width="9.875" style="5" customWidth="1"/>
    <col min="4" max="4" width="21.375" style="5" customWidth="1"/>
    <col min="5" max="6" width="9.125" style="5" customWidth="1"/>
    <col min="7" max="7" width="15.875" style="5" customWidth="1"/>
    <col min="8" max="8" width="4.625" style="5" customWidth="1"/>
    <col min="9" max="9" width="11.25390625" style="5" bestFit="1" customWidth="1"/>
    <col min="10" max="13" width="9.125" style="5" customWidth="1"/>
    <col min="14" max="14" width="13.25390625" style="5" customWidth="1"/>
    <col min="15" max="16384" width="9.125" style="5" customWidth="1"/>
  </cols>
  <sheetData>
    <row r="1" spans="1:8" ht="12.75">
      <c r="A1" s="1"/>
      <c r="B1" s="1"/>
      <c r="C1" s="1"/>
      <c r="E1" s="1"/>
      <c r="F1" s="1"/>
      <c r="G1" s="1"/>
      <c r="H1" s="1"/>
    </row>
    <row r="3" spans="1:9" ht="18.75" customHeight="1">
      <c r="A3" s="345" t="s">
        <v>31</v>
      </c>
      <c r="B3" s="345"/>
      <c r="C3" s="345"/>
      <c r="D3" s="345"/>
      <c r="E3" s="345"/>
      <c r="F3" s="345"/>
      <c r="G3" s="345"/>
      <c r="H3" s="345"/>
      <c r="I3" s="345"/>
    </row>
    <row r="4" ht="12.75">
      <c r="H4" s="10"/>
    </row>
    <row r="5" spans="1:9" ht="18.75" customHeight="1">
      <c r="A5" s="344">
        <f>'Monthly receipts from State'!G8</f>
        <v>43661</v>
      </c>
      <c r="B5" s="344"/>
      <c r="C5" s="344"/>
      <c r="D5" s="344"/>
      <c r="E5" s="344"/>
      <c r="F5" s="344"/>
      <c r="G5" s="344"/>
      <c r="H5" s="344"/>
      <c r="I5" s="344"/>
    </row>
    <row r="8" spans="1:2" ht="15.75">
      <c r="A8" s="38" t="s">
        <v>32</v>
      </c>
      <c r="B8" s="28"/>
    </row>
    <row r="9" spans="1:2" ht="12.75">
      <c r="A9" s="6"/>
      <c r="B9" s="28"/>
    </row>
    <row r="10" spans="1:2" ht="12.75">
      <c r="A10" s="27" t="s">
        <v>33</v>
      </c>
      <c r="B10" s="28"/>
    </row>
    <row r="13" spans="1:9" ht="12.75">
      <c r="A13" s="24" t="s">
        <v>105</v>
      </c>
      <c r="E13" s="26"/>
      <c r="F13" s="26"/>
      <c r="G13" s="10"/>
      <c r="H13" s="10"/>
      <c r="I13" s="162" t="s">
        <v>94</v>
      </c>
    </row>
    <row r="14" spans="1:8" ht="12.75">
      <c r="A14" s="8"/>
      <c r="E14" s="39"/>
      <c r="G14" s="10"/>
      <c r="H14" s="10"/>
    </row>
    <row r="15" spans="1:9" ht="12.75">
      <c r="A15" s="8" t="s">
        <v>34</v>
      </c>
      <c r="E15" s="5" t="s">
        <v>161</v>
      </c>
      <c r="G15" s="11">
        <f>'Monthly receipts from State'!$F$25-'Monthly receipts from State'!$I$25</f>
        <v>13886139.52</v>
      </c>
      <c r="H15" s="10"/>
      <c r="I15" s="5" t="s">
        <v>95</v>
      </c>
    </row>
    <row r="16" spans="7:8" ht="12.75">
      <c r="G16" s="40"/>
      <c r="H16" s="10"/>
    </row>
    <row r="17" spans="1:9" ht="12.75">
      <c r="A17" s="8" t="s">
        <v>35</v>
      </c>
      <c r="E17" s="5" t="s">
        <v>162</v>
      </c>
      <c r="G17" s="11">
        <f>'Monthly receipts from State'!$F$26-'Monthly receipts from State'!$I$26</f>
        <v>3124934.25</v>
      </c>
      <c r="H17" s="10"/>
      <c r="I17" s="5" t="s">
        <v>96</v>
      </c>
    </row>
    <row r="18" spans="7:8" ht="12.75">
      <c r="G18" s="40"/>
      <c r="H18" s="10"/>
    </row>
    <row r="19" spans="1:9" ht="12.75">
      <c r="A19" s="8" t="s">
        <v>143</v>
      </c>
      <c r="E19" s="5" t="s">
        <v>163</v>
      </c>
      <c r="G19" s="11">
        <f>'Monthly receipts from State'!$F$40-'Monthly receipts from State'!$I$28</f>
        <v>6996687.599074074</v>
      </c>
      <c r="H19" s="10"/>
      <c r="I19" s="5" t="s">
        <v>97</v>
      </c>
    </row>
    <row r="20" spans="7:8" ht="12.75">
      <c r="G20" s="40"/>
      <c r="H20" s="10"/>
    </row>
    <row r="21" spans="1:9" ht="12.75">
      <c r="A21" s="204" t="s">
        <v>224</v>
      </c>
      <c r="E21" s="195" t="s">
        <v>226</v>
      </c>
      <c r="G21" s="11">
        <f>'Monthly receipts from State'!$F$29-'Monthly receipts from State'!$I$29</f>
        <v>1582644.59</v>
      </c>
      <c r="I21" s="5" t="s">
        <v>98</v>
      </c>
    </row>
    <row r="22" spans="1:6" ht="12.75">
      <c r="A22" s="8"/>
      <c r="E22" s="6" t="s">
        <v>225</v>
      </c>
      <c r="F22" s="6"/>
    </row>
    <row r="23" spans="1:9" ht="12.75">
      <c r="A23" s="8" t="s">
        <v>145</v>
      </c>
      <c r="E23" s="195" t="s">
        <v>188</v>
      </c>
      <c r="G23" s="11">
        <f>'Monthly receipts from State'!$F$30-'Monthly receipts from State'!$I$30</f>
        <v>3360526.880488889</v>
      </c>
      <c r="I23" s="5" t="s">
        <v>141</v>
      </c>
    </row>
    <row r="24" spans="1:7" ht="12.75">
      <c r="A24" s="8"/>
      <c r="E24" s="6" t="s">
        <v>227</v>
      </c>
      <c r="F24" s="6"/>
      <c r="G24" s="11"/>
    </row>
    <row r="25" spans="1:9" ht="12.75">
      <c r="A25" s="8" t="s">
        <v>146</v>
      </c>
      <c r="E25" s="5" t="s">
        <v>164</v>
      </c>
      <c r="G25" s="11">
        <f>'Monthly receipts from State'!$F$31-'Monthly receipts from State'!$I$31</f>
        <v>3389969.2004370373</v>
      </c>
      <c r="I25" s="5" t="s">
        <v>138</v>
      </c>
    </row>
    <row r="26" spans="1:7" ht="12.75">
      <c r="A26" s="8"/>
      <c r="G26" s="11"/>
    </row>
    <row r="27" spans="1:9" ht="12.75">
      <c r="A27" s="8" t="s">
        <v>36</v>
      </c>
      <c r="E27" s="5" t="s">
        <v>165</v>
      </c>
      <c r="G27" s="11">
        <f>'Monthly receipts from State'!$F$32-'Monthly receipts from State'!$I$31</f>
        <v>839024.83</v>
      </c>
      <c r="I27" s="5" t="s">
        <v>99</v>
      </c>
    </row>
    <row r="28" ht="12.75">
      <c r="G28" s="11"/>
    </row>
    <row r="29" spans="1:9" ht="12.75">
      <c r="A29" s="8" t="s">
        <v>37</v>
      </c>
      <c r="C29" s="5" t="s">
        <v>38</v>
      </c>
      <c r="E29" s="5" t="s">
        <v>166</v>
      </c>
      <c r="G29" s="9">
        <f>'Monthly receipts from State'!$D$34-'Monthly receipts from State'!J13-'Monthly receipts from State'!K13</f>
        <v>107571.03</v>
      </c>
      <c r="I29" s="5" t="s">
        <v>100</v>
      </c>
    </row>
    <row r="30" ht="12.75">
      <c r="G30" s="11"/>
    </row>
    <row r="31" spans="1:9" ht="12.75">
      <c r="A31" s="8" t="s">
        <v>37</v>
      </c>
      <c r="C31" s="8" t="s">
        <v>39</v>
      </c>
      <c r="E31" s="5" t="s">
        <v>167</v>
      </c>
      <c r="G31" s="9">
        <f>'Monthly receipts from State'!$F$35</f>
        <v>108385.99</v>
      </c>
      <c r="I31" s="5" t="s">
        <v>101</v>
      </c>
    </row>
    <row r="32" ht="12.75">
      <c r="G32" s="11"/>
    </row>
    <row r="33" spans="1:7" ht="12.75">
      <c r="A33" s="5" t="s">
        <v>148</v>
      </c>
      <c r="E33" s="5" t="s">
        <v>168</v>
      </c>
      <c r="G33" s="9">
        <f>'Monthly receipts from State'!$F$41</f>
        <v>166290.45</v>
      </c>
    </row>
    <row r="34" ht="12.75">
      <c r="G34" s="9"/>
    </row>
    <row r="35" spans="1:7" ht="12.75">
      <c r="A35" s="195" t="s">
        <v>246</v>
      </c>
      <c r="E35" s="195" t="s">
        <v>247</v>
      </c>
      <c r="G35" s="9">
        <f>+'.375%'!H18</f>
        <v>4722804.83</v>
      </c>
    </row>
    <row r="36" spans="6:9" ht="12.75">
      <c r="F36" s="26"/>
      <c r="I36" s="191"/>
    </row>
    <row r="37" spans="1:14" ht="12.75">
      <c r="A37" s="24" t="s">
        <v>106</v>
      </c>
      <c r="G37" s="11"/>
      <c r="N37" s="290"/>
    </row>
    <row r="38" spans="1:9" ht="12.75">
      <c r="A38" s="8" t="s">
        <v>40</v>
      </c>
      <c r="E38" s="5" t="s">
        <v>161</v>
      </c>
      <c r="G38" s="41">
        <f>'Monthly receipts from State'!$I$13*'Monthly receipts from State'!$J$25+'Monthly receipts from State'!$I$16*'Monthly receipts from State'!$K$25</f>
        <v>0</v>
      </c>
      <c r="I38" s="5" t="s">
        <v>102</v>
      </c>
    </row>
    <row r="39" ht="12.75">
      <c r="G39" s="11"/>
    </row>
    <row r="40" spans="1:9" ht="12.75">
      <c r="A40" s="8" t="s">
        <v>41</v>
      </c>
      <c r="E40" s="5" t="s">
        <v>162</v>
      </c>
      <c r="G40" s="11">
        <f>'Monthly receipts from State'!$I$13*'Monthly receipts from State'!$J$26+'Monthly receipts from State'!$I$16*'Monthly receipts from State'!$K$26</f>
        <v>0</v>
      </c>
      <c r="I40" s="5" t="s">
        <v>103</v>
      </c>
    </row>
    <row r="41" ht="12.75">
      <c r="G41" s="11"/>
    </row>
    <row r="42" spans="1:9" ht="12.75">
      <c r="A42" s="8" t="s">
        <v>42</v>
      </c>
      <c r="E42" s="5" t="s">
        <v>166</v>
      </c>
      <c r="G42" s="42">
        <f>'Monthly receipts from State'!$J$13+'Monthly receipts from State'!$K$13+'Monthly receipts from State'!$J$16+'Monthly receipts from State'!$K$16</f>
        <v>0</v>
      </c>
      <c r="I42" s="5" t="s">
        <v>104</v>
      </c>
    </row>
    <row r="43" spans="1:7" ht="12.75">
      <c r="A43" s="8"/>
      <c r="G43" s="98"/>
    </row>
    <row r="44" spans="1:7" ht="12.75">
      <c r="A44" s="8"/>
      <c r="G44" s="98"/>
    </row>
    <row r="45" spans="1:7" ht="12.75">
      <c r="A45" s="99" t="s">
        <v>112</v>
      </c>
      <c r="G45" s="98"/>
    </row>
    <row r="46" spans="1:7" ht="12.75">
      <c r="A46" s="99"/>
      <c r="G46" s="98"/>
    </row>
    <row r="47" spans="1:9" ht="12.75">
      <c r="A47" s="32" t="s">
        <v>187</v>
      </c>
      <c r="B47" s="4"/>
      <c r="C47" s="4"/>
      <c r="D47" s="4"/>
      <c r="E47" s="195" t="s">
        <v>188</v>
      </c>
      <c r="G47" s="210">
        <f>-G23</f>
        <v>-3360526.880488889</v>
      </c>
      <c r="I47" s="5" t="s">
        <v>141</v>
      </c>
    </row>
    <row r="48" spans="1:10" ht="12.75">
      <c r="A48" s="32" t="s">
        <v>194</v>
      </c>
      <c r="B48" s="4"/>
      <c r="C48" s="4"/>
      <c r="D48" s="4"/>
      <c r="E48" s="5" t="s">
        <v>177</v>
      </c>
      <c r="G48" s="98">
        <f>$G$23*J48</f>
        <v>168026.34402444446</v>
      </c>
      <c r="I48" s="5" t="s">
        <v>114</v>
      </c>
      <c r="J48" s="101">
        <v>0.05</v>
      </c>
    </row>
    <row r="49" spans="1:10" ht="12.75">
      <c r="A49" s="32" t="s">
        <v>193</v>
      </c>
      <c r="B49" s="4"/>
      <c r="C49" s="4"/>
      <c r="D49" s="4"/>
      <c r="E49" s="5" t="s">
        <v>178</v>
      </c>
      <c r="G49" s="98">
        <f>$G$23*J49</f>
        <v>436868.4944635556</v>
      </c>
      <c r="I49" s="5" t="s">
        <v>115</v>
      </c>
      <c r="J49" s="101">
        <v>0.13</v>
      </c>
    </row>
    <row r="50" spans="1:10" ht="12.75">
      <c r="A50" s="32" t="s">
        <v>189</v>
      </c>
      <c r="B50" s="4"/>
      <c r="C50" s="4"/>
      <c r="D50" s="4"/>
      <c r="E50" s="5" t="s">
        <v>179</v>
      </c>
      <c r="G50" s="98">
        <f>$G$23*J50</f>
        <v>1209789.676976</v>
      </c>
      <c r="I50" s="5" t="s">
        <v>116</v>
      </c>
      <c r="J50" s="101">
        <v>0.36</v>
      </c>
    </row>
    <row r="51" spans="1:10" ht="12.75">
      <c r="A51" s="32" t="s">
        <v>191</v>
      </c>
      <c r="B51" s="4"/>
      <c r="C51" s="4"/>
      <c r="D51" s="4"/>
      <c r="E51" s="5" t="s">
        <v>180</v>
      </c>
      <c r="G51" s="98">
        <f>$G$23*J51</f>
        <v>1041763.3329515555</v>
      </c>
      <c r="I51" s="5" t="s">
        <v>117</v>
      </c>
      <c r="J51" s="101">
        <v>0.31</v>
      </c>
    </row>
    <row r="52" spans="1:10" ht="12.75">
      <c r="A52" s="32" t="s">
        <v>192</v>
      </c>
      <c r="B52" s="4"/>
      <c r="C52" s="4"/>
      <c r="D52" s="4"/>
      <c r="E52" s="5" t="s">
        <v>181</v>
      </c>
      <c r="G52" s="98">
        <f>$G$23*J52</f>
        <v>504079.0320733333</v>
      </c>
      <c r="I52" s="5" t="s">
        <v>118</v>
      </c>
      <c r="J52" s="101">
        <v>0.15</v>
      </c>
    </row>
    <row r="53" spans="1:10" ht="12.75">
      <c r="A53" s="8"/>
      <c r="G53" s="98"/>
      <c r="J53" s="101"/>
    </row>
    <row r="54" spans="1:10" ht="12.75">
      <c r="A54" s="8" t="s">
        <v>176</v>
      </c>
      <c r="E54" s="5" t="s">
        <v>186</v>
      </c>
      <c r="G54" s="98">
        <f>G50</f>
        <v>1209789.676976</v>
      </c>
      <c r="I54" s="5" t="s">
        <v>119</v>
      </c>
      <c r="J54" s="101"/>
    </row>
    <row r="55" spans="1:10" ht="12.75">
      <c r="A55" s="5" t="s">
        <v>113</v>
      </c>
      <c r="D55" s="36" t="s">
        <v>190</v>
      </c>
      <c r="E55" s="5" t="s">
        <v>182</v>
      </c>
      <c r="G55" s="211">
        <f>-G50</f>
        <v>-1209789.676976</v>
      </c>
      <c r="I55" s="5" t="s">
        <v>120</v>
      </c>
      <c r="J55" s="100"/>
    </row>
    <row r="56" spans="5:10" ht="12.75">
      <c r="E56" s="306"/>
      <c r="F56" s="306"/>
      <c r="G56" s="11"/>
      <c r="J56" s="100"/>
    </row>
    <row r="57" ht="12.75">
      <c r="G57" s="11"/>
    </row>
    <row r="58" spans="1:7" ht="13.5" thickBot="1">
      <c r="A58" s="102"/>
      <c r="B58" s="7"/>
      <c r="C58" s="7"/>
      <c r="F58" s="43" t="s">
        <v>43</v>
      </c>
      <c r="G58" s="44">
        <f>SUM(G15:G56)</f>
        <v>38284979.169999994</v>
      </c>
    </row>
    <row r="59" spans="1:3" ht="13.5" thickTop="1">
      <c r="A59" s="7"/>
      <c r="B59" s="7"/>
      <c r="C59" s="7"/>
    </row>
    <row r="60" spans="1:7" ht="12.75">
      <c r="A60" s="102"/>
      <c r="B60" s="7"/>
      <c r="C60" s="103"/>
      <c r="G60" s="9" t="s">
        <v>26</v>
      </c>
    </row>
    <row r="62" spans="1:8" ht="12.75">
      <c r="A62" s="28" t="s">
        <v>44</v>
      </c>
      <c r="C62" s="153">
        <f>'Monthly receipts from State'!$G$8</f>
        <v>43661</v>
      </c>
      <c r="F62" s="43" t="s">
        <v>45</v>
      </c>
      <c r="G62" s="30" t="s">
        <v>140</v>
      </c>
      <c r="H62" s="31"/>
    </row>
    <row r="63" spans="1:8" ht="12.75">
      <c r="A63" s="28"/>
      <c r="C63" s="45"/>
      <c r="F63" s="43"/>
      <c r="G63" s="31"/>
      <c r="H63" s="31"/>
    </row>
    <row r="64" spans="1:8" ht="12.75">
      <c r="A64" s="8" t="s">
        <v>46</v>
      </c>
      <c r="B64" s="195" t="s">
        <v>209</v>
      </c>
      <c r="C64" s="195" t="s">
        <v>210</v>
      </c>
      <c r="G64" s="1"/>
      <c r="H64" s="1"/>
    </row>
    <row r="65" spans="2:3" ht="12.75">
      <c r="B65" s="195" t="s">
        <v>214</v>
      </c>
      <c r="C65" s="195" t="s">
        <v>196</v>
      </c>
    </row>
    <row r="67" ht="12.75">
      <c r="B67" s="195" t="s">
        <v>47</v>
      </c>
    </row>
  </sheetData>
  <sheetProtection/>
  <mergeCells count="2">
    <mergeCell ref="A3:I3"/>
    <mergeCell ref="A5:I5"/>
  </mergeCells>
  <printOptions horizontalCentered="1"/>
  <pageMargins left="0" right="0" top="0.27" bottom="1" header="0.22"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D23" sqref="D23"/>
    </sheetView>
  </sheetViews>
  <sheetFormatPr defaultColWidth="9.00390625" defaultRowHeight="12.75"/>
  <cols>
    <col min="1" max="1" width="10.75390625" style="22" customWidth="1"/>
    <col min="2" max="2" width="20.375" style="22" customWidth="1"/>
    <col min="3" max="3" width="16.25390625" style="22" customWidth="1"/>
    <col min="4" max="4" width="26.00390625" style="22" customWidth="1"/>
    <col min="5" max="5" width="17.125" style="22" customWidth="1"/>
    <col min="6" max="6" width="22.625" style="22" customWidth="1"/>
    <col min="7" max="7" width="22.25390625" style="22" customWidth="1"/>
    <col min="8" max="8" width="22.375" style="22" customWidth="1"/>
    <col min="9" max="9" width="21.00390625" style="22" customWidth="1"/>
    <col min="10" max="10" width="21.25390625" style="22" customWidth="1"/>
    <col min="11" max="11" width="18.00390625" style="22" customWidth="1"/>
    <col min="12" max="12" width="9.125" style="22" customWidth="1"/>
    <col min="13" max="13" width="23.125" style="22" customWidth="1"/>
    <col min="14" max="14" width="9.125" style="22" customWidth="1"/>
    <col min="15" max="15" width="21.375" style="22" customWidth="1"/>
    <col min="16" max="16" width="19.00390625" style="22" customWidth="1"/>
    <col min="17" max="17" width="15.625" style="22" customWidth="1"/>
    <col min="18" max="18" width="21.625" style="22" customWidth="1"/>
    <col min="19" max="20" width="15.375" style="22" bestFit="1" customWidth="1"/>
    <col min="21" max="21" width="16.625" style="22" bestFit="1" customWidth="1"/>
    <col min="22" max="22" width="9.125" style="22" customWidth="1"/>
    <col min="23" max="23" width="10.375" style="22" bestFit="1" customWidth="1"/>
    <col min="24" max="24" width="11.125" style="22" bestFit="1" customWidth="1"/>
    <col min="25" max="25" width="10.375" style="22" bestFit="1" customWidth="1"/>
    <col min="26" max="26" width="12.375" style="22" customWidth="1"/>
    <col min="27" max="16384" width="9.125" style="22" customWidth="1"/>
  </cols>
  <sheetData>
    <row r="1" spans="1:13" ht="15.75">
      <c r="A1" s="13" t="s">
        <v>60</v>
      </c>
      <c r="B1" s="20"/>
      <c r="C1" s="20"/>
      <c r="D1" s="20"/>
      <c r="E1" s="20"/>
      <c r="F1" s="20"/>
      <c r="G1" s="20"/>
      <c r="H1" s="20"/>
      <c r="I1" s="20"/>
      <c r="J1" s="20"/>
      <c r="K1" s="20"/>
      <c r="L1" s="20"/>
      <c r="M1" s="20"/>
    </row>
    <row r="3" ht="15.75">
      <c r="A3" s="50" t="s">
        <v>61</v>
      </c>
    </row>
    <row r="4" ht="30" customHeight="1">
      <c r="A4" s="50" t="s">
        <v>62</v>
      </c>
    </row>
    <row r="5" ht="15.75">
      <c r="A5" s="50" t="s">
        <v>63</v>
      </c>
    </row>
    <row r="7" ht="20.25" customHeight="1">
      <c r="I7" s="5"/>
    </row>
    <row r="8" spans="1:7" ht="15.75">
      <c r="A8" s="50" t="s">
        <v>26</v>
      </c>
      <c r="B8" s="86" t="s">
        <v>91</v>
      </c>
      <c r="C8" s="87"/>
      <c r="D8" s="88" t="s">
        <v>277</v>
      </c>
      <c r="E8" s="50" t="s">
        <v>44</v>
      </c>
      <c r="G8" s="154">
        <v>43661</v>
      </c>
    </row>
    <row r="9" ht="18" customHeight="1"/>
    <row r="10" spans="1:19" ht="20.25" customHeight="1">
      <c r="A10" s="50" t="s">
        <v>64</v>
      </c>
      <c r="C10" s="50" t="s">
        <v>65</v>
      </c>
      <c r="D10" s="51">
        <f>D20+F20+G20+H20+E16</f>
        <v>38284979.17</v>
      </c>
      <c r="E10" s="50"/>
      <c r="G10" s="52"/>
      <c r="I10" s="21" t="s">
        <v>66</v>
      </c>
      <c r="J10" s="51">
        <f>+I20+J20+K20</f>
        <v>0</v>
      </c>
      <c r="K10" s="53"/>
      <c r="L10" s="52"/>
      <c r="P10" s="177" t="s">
        <v>158</v>
      </c>
      <c r="Q10" s="177"/>
      <c r="R10" s="177"/>
      <c r="S10" s="176"/>
    </row>
    <row r="11" ht="20.25" customHeight="1">
      <c r="G11" s="164" t="s">
        <v>149</v>
      </c>
    </row>
    <row r="12" spans="4:17" ht="20.25" customHeight="1">
      <c r="D12" s="21" t="s">
        <v>67</v>
      </c>
      <c r="E12" s="21" t="s">
        <v>195</v>
      </c>
      <c r="F12" s="21" t="s">
        <v>92</v>
      </c>
      <c r="G12" s="164" t="s">
        <v>150</v>
      </c>
      <c r="H12" s="21" t="s">
        <v>68</v>
      </c>
      <c r="I12" s="21" t="s">
        <v>69</v>
      </c>
      <c r="J12" s="21" t="s">
        <v>93</v>
      </c>
      <c r="K12" s="21" t="s">
        <v>70</v>
      </c>
      <c r="Q12" s="22" t="s">
        <v>184</v>
      </c>
    </row>
    <row r="13" spans="1:21" ht="20.25" customHeight="1">
      <c r="A13" s="50" t="s">
        <v>265</v>
      </c>
      <c r="D13" s="54">
        <v>17040769.38</v>
      </c>
      <c r="E13" s="54">
        <v>-29695.61</v>
      </c>
      <c r="F13" s="54">
        <v>71092.67</v>
      </c>
      <c r="G13" s="54"/>
      <c r="H13" s="54">
        <v>36478.36</v>
      </c>
      <c r="I13" s="54">
        <v>0</v>
      </c>
      <c r="J13" s="54">
        <v>0</v>
      </c>
      <c r="K13" s="54">
        <v>0</v>
      </c>
      <c r="O13" s="178" t="s">
        <v>159</v>
      </c>
      <c r="P13" s="317" t="s">
        <v>269</v>
      </c>
      <c r="Q13" s="169" t="s">
        <v>183</v>
      </c>
      <c r="R13" s="179" t="s">
        <v>157</v>
      </c>
      <c r="S13" s="180">
        <v>0.5</v>
      </c>
      <c r="T13" s="175" t="s">
        <v>160</v>
      </c>
      <c r="U13" s="175"/>
    </row>
    <row r="14" spans="1:26" ht="20.25" customHeight="1">
      <c r="A14" s="50" t="s">
        <v>266</v>
      </c>
      <c r="D14" s="54">
        <v>13989568.06</v>
      </c>
      <c r="E14" s="54">
        <v>-242384.38</v>
      </c>
      <c r="F14" s="54">
        <v>57758.53</v>
      </c>
      <c r="G14" s="54"/>
      <c r="H14" s="54">
        <v>29513.3</v>
      </c>
      <c r="I14" s="54">
        <v>0</v>
      </c>
      <c r="J14" s="54">
        <v>0</v>
      </c>
      <c r="K14" s="54">
        <v>0</v>
      </c>
      <c r="O14" s="22" t="s">
        <v>152</v>
      </c>
      <c r="P14" s="165">
        <v>13150445.64</v>
      </c>
      <c r="Q14" s="165">
        <v>-215112.91</v>
      </c>
      <c r="R14" s="165">
        <f>+P14/4</f>
        <v>3287611.41</v>
      </c>
      <c r="S14" s="165">
        <f>+R14*2</f>
        <v>6575222.82</v>
      </c>
      <c r="T14" s="165">
        <f>+R14</f>
        <v>3287611.41</v>
      </c>
      <c r="U14" s="165">
        <f>+T14+S14+R14</f>
        <v>13150445.64</v>
      </c>
      <c r="W14" s="159">
        <f>Q14/Q17</f>
        <v>0.8874866854043978</v>
      </c>
      <c r="X14" s="270">
        <f>W14*Y14</f>
        <v>8443.246579464403</v>
      </c>
      <c r="Y14" s="270">
        <v>9513.66</v>
      </c>
      <c r="Z14" s="270"/>
    </row>
    <row r="15" spans="1:26" ht="20.25" customHeight="1">
      <c r="A15" s="50" t="s">
        <v>267</v>
      </c>
      <c r="D15" s="54">
        <v>867391.23</v>
      </c>
      <c r="E15" s="54">
        <v>-28366.4</v>
      </c>
      <c r="F15" s="54">
        <v>3623.69</v>
      </c>
      <c r="G15" s="54"/>
      <c r="H15" s="54">
        <v>1797.32</v>
      </c>
      <c r="I15" s="54">
        <v>0</v>
      </c>
      <c r="J15" s="54">
        <v>0</v>
      </c>
      <c r="K15" s="54">
        <v>0</v>
      </c>
      <c r="O15" s="22" t="s">
        <v>153</v>
      </c>
      <c r="P15" s="165">
        <v>552725.99</v>
      </c>
      <c r="Q15" s="165">
        <v>-17963.59</v>
      </c>
      <c r="R15" s="165">
        <f>+P15/4.5</f>
        <v>122827.99777777778</v>
      </c>
      <c r="S15" s="165">
        <f>+(P15-R15)*0.666666666666667</f>
        <v>286598.6614814816</v>
      </c>
      <c r="T15" s="165">
        <f>+S15/2</f>
        <v>143299.3307407408</v>
      </c>
      <c r="U15" s="165">
        <f>+T15+S15+R15</f>
        <v>552725.9900000002</v>
      </c>
      <c r="W15" s="159">
        <f>Q15/Q17</f>
        <v>0.0741119951706459</v>
      </c>
      <c r="X15" s="270">
        <f>Y14*W15</f>
        <v>705.076323975167</v>
      </c>
      <c r="Y15" s="270"/>
      <c r="Z15" s="270"/>
    </row>
    <row r="16" spans="1:26" ht="20.25" customHeight="1">
      <c r="A16" s="50" t="s">
        <v>71</v>
      </c>
      <c r="D16" s="165">
        <v>-512784.51</v>
      </c>
      <c r="E16" s="54"/>
      <c r="F16" s="54">
        <v>0</v>
      </c>
      <c r="G16" s="54"/>
      <c r="H16" s="54">
        <v>0</v>
      </c>
      <c r="I16" s="54">
        <v>0</v>
      </c>
      <c r="J16" s="54">
        <v>0</v>
      </c>
      <c r="K16" s="54">
        <v>0</v>
      </c>
      <c r="O16" s="22" t="s">
        <v>154</v>
      </c>
      <c r="P16" s="165">
        <v>286396.43</v>
      </c>
      <c r="Q16" s="165">
        <v>-9307.88</v>
      </c>
      <c r="R16" s="165">
        <f>+P16/4.5</f>
        <v>63643.65111111111</v>
      </c>
      <c r="S16" s="165">
        <f>+(P16-R16)*0.666666666666667</f>
        <v>148501.85259259265</v>
      </c>
      <c r="T16" s="165">
        <f>+S16/2</f>
        <v>74250.92629629633</v>
      </c>
      <c r="U16" s="165">
        <f>+T16+S16+R16</f>
        <v>286396.4300000001</v>
      </c>
      <c r="W16" s="159">
        <f>Q16/Q17</f>
        <v>0.03840131942495634</v>
      </c>
      <c r="X16" s="270">
        <f>Y14*W16</f>
        <v>365.3370965604301</v>
      </c>
      <c r="Y16" s="270"/>
      <c r="Z16" s="270"/>
    </row>
    <row r="17" spans="1:26" ht="20.25" customHeight="1">
      <c r="A17" s="50"/>
      <c r="B17" s="57"/>
      <c r="C17" s="57"/>
      <c r="D17" s="58"/>
      <c r="F17" s="54"/>
      <c r="G17" s="58">
        <v>166290.45</v>
      </c>
      <c r="H17" s="54"/>
      <c r="I17" s="54"/>
      <c r="J17" s="54"/>
      <c r="K17" s="54"/>
      <c r="L17" s="56"/>
      <c r="M17" s="56"/>
      <c r="P17" s="165">
        <f>+P16+P15+P14</f>
        <v>13989568.06</v>
      </c>
      <c r="Q17" s="165">
        <f>+Q16+Q15+Q14</f>
        <v>-242384.38</v>
      </c>
      <c r="R17" s="165">
        <f>+R16+R15+R14</f>
        <v>3474083.058888889</v>
      </c>
      <c r="S17" s="165">
        <f>+S16+S15+S14</f>
        <v>7010323.334074074</v>
      </c>
      <c r="T17" s="165">
        <f>+T16+T15+T14</f>
        <v>3505161.667037037</v>
      </c>
      <c r="U17" s="165">
        <f>+T17+S17+R17</f>
        <v>13989568.060000002</v>
      </c>
      <c r="X17" s="270">
        <f>SUM(X14:X16)</f>
        <v>9513.66</v>
      </c>
      <c r="Z17" s="270"/>
    </row>
    <row r="18" spans="1:21" ht="20.25" customHeight="1">
      <c r="A18" s="50" t="s">
        <v>268</v>
      </c>
      <c r="B18" s="57"/>
      <c r="C18" s="57"/>
      <c r="D18" s="54">
        <v>4881792.51</v>
      </c>
      <c r="E18" s="58">
        <v>-158987.68</v>
      </c>
      <c r="F18" s="54">
        <v>8848.04</v>
      </c>
      <c r="G18" s="58"/>
      <c r="H18" s="54">
        <v>1288.14</v>
      </c>
      <c r="I18" s="54"/>
      <c r="J18" s="54"/>
      <c r="K18" s="54"/>
      <c r="L18" s="57"/>
      <c r="M18" s="57"/>
      <c r="P18" s="165"/>
      <c r="Q18" s="165"/>
      <c r="R18" s="165"/>
      <c r="S18" s="165"/>
      <c r="T18" s="165"/>
      <c r="U18" s="165"/>
    </row>
    <row r="19" spans="1:21" ht="20.25" customHeight="1">
      <c r="A19" s="55" t="s">
        <v>215</v>
      </c>
      <c r="B19" s="56"/>
      <c r="C19" s="56"/>
      <c r="D19" s="277">
        <v>1635995.03</v>
      </c>
      <c r="E19" s="289">
        <v>-53350.44</v>
      </c>
      <c r="F19" s="54">
        <v>4651.46</v>
      </c>
      <c r="G19" s="58"/>
      <c r="H19" s="54">
        <v>905.51</v>
      </c>
      <c r="I19" s="54">
        <v>0</v>
      </c>
      <c r="J19" s="54">
        <v>0</v>
      </c>
      <c r="K19" s="54">
        <v>0</v>
      </c>
      <c r="L19" s="57"/>
      <c r="M19" s="57"/>
      <c r="P19" s="165"/>
      <c r="Q19" s="165"/>
      <c r="R19" s="165"/>
      <c r="S19" s="165"/>
      <c r="T19" s="165"/>
      <c r="U19" s="165"/>
    </row>
    <row r="20" spans="1:21" ht="20.25" customHeight="1" thickBot="1">
      <c r="A20" s="278"/>
      <c r="B20" s="279"/>
      <c r="C20" s="279"/>
      <c r="D20" s="60">
        <f>SUM(D13:D19)</f>
        <v>37902731.699999996</v>
      </c>
      <c r="E20" s="60">
        <f>SUM(E13:E19)</f>
        <v>-512784.51</v>
      </c>
      <c r="F20" s="60">
        <f>SUM(F13:F19)</f>
        <v>145974.38999999998</v>
      </c>
      <c r="G20" s="60">
        <f>SUM(G17)</f>
        <v>166290.45</v>
      </c>
      <c r="H20" s="60">
        <f>SUM(H13:H19)</f>
        <v>69982.63</v>
      </c>
      <c r="I20" s="60">
        <f>SUM(I13:I19)</f>
        <v>0</v>
      </c>
      <c r="J20" s="60">
        <f>SUM(J13:J19)</f>
        <v>0</v>
      </c>
      <c r="K20" s="60">
        <f>SUM(K13:K19)</f>
        <v>0</v>
      </c>
      <c r="L20" s="59"/>
      <c r="M20" s="59"/>
      <c r="O20" s="22" t="s">
        <v>183</v>
      </c>
      <c r="Q20" s="310">
        <f>+R20+S20+T20</f>
        <v>-242384.38</v>
      </c>
      <c r="R20" s="165">
        <f>+Q14/2+(Q15+Q16)*0.22</f>
        <v>-113556.1784</v>
      </c>
      <c r="S20" s="165">
        <f>+(Q16+Q15)/2</f>
        <v>-13635.735</v>
      </c>
      <c r="T20" s="165">
        <f>+Q14/2+(Q15+Q16)*0.28</f>
        <v>-115192.4666</v>
      </c>
      <c r="U20" s="165">
        <f>+T20+S20+R20</f>
        <v>-242384.38</v>
      </c>
    </row>
    <row r="21" spans="1:21" ht="20.25" customHeight="1" thickTop="1">
      <c r="A21" s="61"/>
      <c r="B21" s="61"/>
      <c r="C21" s="61"/>
      <c r="D21" s="280"/>
      <c r="E21" s="281"/>
      <c r="F21" s="281"/>
      <c r="G21" s="61"/>
      <c r="H21" s="61"/>
      <c r="I21" s="61"/>
      <c r="J21" s="61"/>
      <c r="K21" s="61"/>
      <c r="L21" s="61"/>
      <c r="M21" s="61"/>
      <c r="Q21" s="165"/>
      <c r="R21" s="165"/>
      <c r="S21" s="165"/>
      <c r="T21" s="165"/>
      <c r="U21" s="165"/>
    </row>
    <row r="22" spans="4:20" ht="20.25" customHeight="1" thickBot="1">
      <c r="D22" s="309"/>
      <c r="L22" s="21" t="s">
        <v>72</v>
      </c>
      <c r="Q22" s="270"/>
      <c r="R22" s="270"/>
      <c r="S22" s="270"/>
      <c r="T22" s="270"/>
    </row>
    <row r="23" spans="1:20" ht="20.25" customHeight="1" thickBot="1">
      <c r="A23" s="81"/>
      <c r="B23" s="82" t="s">
        <v>73</v>
      </c>
      <c r="C23" s="83"/>
      <c r="D23" s="89">
        <f>SUM(D10+J10)</f>
        <v>38284979.17</v>
      </c>
      <c r="E23" s="84"/>
      <c r="F23" s="270"/>
      <c r="J23" s="271"/>
      <c r="L23" s="21" t="s">
        <v>72</v>
      </c>
      <c r="M23" s="50" t="s">
        <v>74</v>
      </c>
      <c r="R23" s="165"/>
      <c r="T23" s="159"/>
    </row>
    <row r="24" spans="1:20" ht="20.25" customHeight="1">
      <c r="A24" s="50" t="s">
        <v>75</v>
      </c>
      <c r="D24" s="21" t="s">
        <v>76</v>
      </c>
      <c r="F24" s="50" t="s">
        <v>77</v>
      </c>
      <c r="G24" s="21" t="s">
        <v>72</v>
      </c>
      <c r="H24" s="50" t="s">
        <v>78</v>
      </c>
      <c r="I24" s="21" t="s">
        <v>79</v>
      </c>
      <c r="J24" s="50" t="s">
        <v>80</v>
      </c>
      <c r="K24" s="21" t="s">
        <v>81</v>
      </c>
      <c r="L24" s="21" t="s">
        <v>72</v>
      </c>
      <c r="R24" s="270"/>
      <c r="S24" s="270"/>
      <c r="T24" s="270"/>
    </row>
    <row r="25" spans="1:21" ht="20.25" customHeight="1">
      <c r="A25" s="50" t="s">
        <v>82</v>
      </c>
      <c r="D25" s="62">
        <f>$D$13*$J$25+$H$25</f>
        <v>13910380.044893999</v>
      </c>
      <c r="E25" s="62">
        <f>+D25+J25*E13</f>
        <v>13886139.518450998</v>
      </c>
      <c r="F25" s="62">
        <f>ROUND((+($D$13+E13)*$J$25+$I$25),2)</f>
        <v>13886139.52</v>
      </c>
      <c r="G25" s="21" t="s">
        <v>72</v>
      </c>
      <c r="H25" s="62">
        <f>ROUND((+I13*J25),2)</f>
        <v>0</v>
      </c>
      <c r="I25" s="62">
        <f>ROUND((+$I$13*$J$25+$I$16*$K$25),2)</f>
        <v>0</v>
      </c>
      <c r="J25" s="63">
        <v>0.8163</v>
      </c>
      <c r="K25" s="63">
        <v>0.5797</v>
      </c>
      <c r="L25" s="21" t="s">
        <v>72</v>
      </c>
      <c r="M25" s="62">
        <f>$F$25-$I$25</f>
        <v>13886139.52</v>
      </c>
      <c r="O25" s="272">
        <v>1</v>
      </c>
      <c r="P25" s="270">
        <f>+O25/O$33</f>
        <v>0.44296788482834987</v>
      </c>
      <c r="R25" s="165"/>
      <c r="U25" s="165"/>
    </row>
    <row r="26" spans="1:18" ht="20.25" customHeight="1">
      <c r="A26" s="50" t="s">
        <v>83</v>
      </c>
      <c r="D26" s="62">
        <f>$D$13*$J$26+$H$26</f>
        <v>3130389.335106</v>
      </c>
      <c r="E26" s="62"/>
      <c r="F26" s="62">
        <f>ROUND((+($D$13+E13)*$J$26+$I$26),2)</f>
        <v>3124934.25</v>
      </c>
      <c r="G26" s="21" t="s">
        <v>72</v>
      </c>
      <c r="H26" s="62">
        <f>ROUND((+I13*J26),2)</f>
        <v>0</v>
      </c>
      <c r="I26" s="62">
        <f>ROUND((+$I$13*$J$26+$I$16*$K$26),2)</f>
        <v>0</v>
      </c>
      <c r="J26" s="63">
        <v>0.1837</v>
      </c>
      <c r="K26" s="63">
        <v>0.1304</v>
      </c>
      <c r="L26" s="21" t="s">
        <v>72</v>
      </c>
      <c r="M26" s="62">
        <f>$F$26-$I$26</f>
        <v>3124934.25</v>
      </c>
      <c r="O26" s="272">
        <v>0.225</v>
      </c>
      <c r="P26" s="270">
        <f>+O26/O$33</f>
        <v>0.09966777408637872</v>
      </c>
      <c r="R26" s="165"/>
    </row>
    <row r="27" spans="1:18" ht="20.25" customHeight="1">
      <c r="A27" s="50" t="s">
        <v>257</v>
      </c>
      <c r="D27" s="62">
        <f>+D18+F17+H17</f>
        <v>4881792.51</v>
      </c>
      <c r="E27" s="62"/>
      <c r="F27" s="62">
        <f>+D27+E18</f>
        <v>4722804.83</v>
      </c>
      <c r="G27" s="21" t="s">
        <v>72</v>
      </c>
      <c r="H27" s="62"/>
      <c r="I27" s="62"/>
      <c r="J27" s="63"/>
      <c r="K27" s="63"/>
      <c r="L27" s="21"/>
      <c r="M27" s="62"/>
      <c r="O27" s="272"/>
      <c r="P27" s="270"/>
      <c r="R27" s="165"/>
    </row>
    <row r="28" spans="1:18" ht="20.25" customHeight="1">
      <c r="A28" s="50" t="s">
        <v>84</v>
      </c>
      <c r="D28" s="62">
        <f>+S17</f>
        <v>7010323.334074074</v>
      </c>
      <c r="E28" s="62"/>
      <c r="F28" s="62">
        <f>+D28+S20</f>
        <v>6996687.599074074</v>
      </c>
      <c r="G28" s="21" t="s">
        <v>72</v>
      </c>
      <c r="H28" s="324"/>
      <c r="I28" s="62"/>
      <c r="J28" s="63">
        <v>0.5</v>
      </c>
      <c r="K28" s="63">
        <v>0.2899</v>
      </c>
      <c r="L28" s="21" t="s">
        <v>72</v>
      </c>
      <c r="M28" s="62">
        <f>$F$40-$I$28</f>
        <v>6996687.599074074</v>
      </c>
      <c r="O28" s="272">
        <v>0.5</v>
      </c>
      <c r="P28" s="270">
        <f>+O28/O$33</f>
        <v>0.22148394241417493</v>
      </c>
      <c r="R28" s="165"/>
    </row>
    <row r="29" spans="1:18" ht="20.25" customHeight="1">
      <c r="A29" s="50" t="s">
        <v>220</v>
      </c>
      <c r="D29" s="62">
        <f>+D19</f>
        <v>1635995.03</v>
      </c>
      <c r="E29" s="62"/>
      <c r="F29" s="62">
        <f>+D29+E19</f>
        <v>1582644.59</v>
      </c>
      <c r="G29" s="21" t="s">
        <v>72</v>
      </c>
      <c r="H29" s="324"/>
      <c r="I29" s="62"/>
      <c r="J29" s="63">
        <v>0</v>
      </c>
      <c r="K29" s="63">
        <v>0</v>
      </c>
      <c r="L29" s="63">
        <v>0</v>
      </c>
      <c r="M29" s="62" t="e">
        <f>#REF!-$I$29</f>
        <v>#REF!</v>
      </c>
      <c r="O29" s="272"/>
      <c r="R29" s="165"/>
    </row>
    <row r="30" spans="1:18" ht="20.25" customHeight="1">
      <c r="A30" s="50" t="s">
        <v>142</v>
      </c>
      <c r="D30" s="62">
        <f>+R17</f>
        <v>3474083.058888889</v>
      </c>
      <c r="E30" s="62"/>
      <c r="F30" s="62">
        <f>+D30+R20</f>
        <v>3360526.880488889</v>
      </c>
      <c r="G30" s="21" t="s">
        <v>72</v>
      </c>
      <c r="H30" s="324"/>
      <c r="I30" s="62"/>
      <c r="J30" s="63">
        <v>0.25</v>
      </c>
      <c r="K30" s="159">
        <v>0.5</v>
      </c>
      <c r="L30" s="63">
        <v>0.3019</v>
      </c>
      <c r="M30" s="62">
        <f>$F$30-$I$30</f>
        <v>3360526.880488889</v>
      </c>
      <c r="O30" s="272">
        <v>0.25</v>
      </c>
      <c r="P30" s="270">
        <f>+O30/O$33</f>
        <v>0.11074197120708747</v>
      </c>
      <c r="R30" s="165"/>
    </row>
    <row r="31" spans="1:18" ht="20.25" customHeight="1">
      <c r="A31" s="22" t="s">
        <v>132</v>
      </c>
      <c r="D31" s="166">
        <f>+T17</f>
        <v>3505161.667037037</v>
      </c>
      <c r="E31" s="62"/>
      <c r="F31" s="62">
        <f>+D31+T20</f>
        <v>3389969.2004370373</v>
      </c>
      <c r="G31" s="21" t="s">
        <v>72</v>
      </c>
      <c r="H31" s="270"/>
      <c r="I31" s="62"/>
      <c r="J31" s="63">
        <v>0.25</v>
      </c>
      <c r="K31" s="159">
        <v>0.5</v>
      </c>
      <c r="L31" s="155">
        <v>0.3019</v>
      </c>
      <c r="M31" s="62">
        <f>$F$31-$I$31</f>
        <v>3389969.2004370373</v>
      </c>
      <c r="O31" s="272">
        <v>0.25</v>
      </c>
      <c r="P31" s="270">
        <f>+O31/O$33</f>
        <v>0.11074197120708747</v>
      </c>
      <c r="R31" s="165"/>
    </row>
    <row r="32" spans="1:18" ht="20.25" customHeight="1">
      <c r="A32" s="50" t="s">
        <v>133</v>
      </c>
      <c r="B32" s="22" t="s">
        <v>85</v>
      </c>
      <c r="D32" s="62">
        <f>D15</f>
        <v>867391.23</v>
      </c>
      <c r="E32" s="62"/>
      <c r="F32" s="62">
        <f>ROUND(($D$32+$E15),2)</f>
        <v>839024.83</v>
      </c>
      <c r="G32" s="21" t="s">
        <v>72</v>
      </c>
      <c r="H32" s="62"/>
      <c r="I32" s="62"/>
      <c r="J32" s="158"/>
      <c r="K32" s="63">
        <v>1</v>
      </c>
      <c r="L32" s="63">
        <v>0.0943</v>
      </c>
      <c r="M32" s="62">
        <f>$F$32-$I$31</f>
        <v>839024.83</v>
      </c>
      <c r="O32" s="272">
        <v>0.0325</v>
      </c>
      <c r="P32" s="270">
        <f>+O32/O$33</f>
        <v>0.014396456256921372</v>
      </c>
      <c r="R32" s="165"/>
    </row>
    <row r="33" spans="1:18" ht="20.25" customHeight="1">
      <c r="A33" s="50" t="s">
        <v>134</v>
      </c>
      <c r="D33" s="207">
        <f>$E$20+$F$16+$H$16</f>
        <v>-512784.51</v>
      </c>
      <c r="E33" s="62"/>
      <c r="F33" s="62"/>
      <c r="G33" s="21" t="s">
        <v>72</v>
      </c>
      <c r="H33" s="62"/>
      <c r="I33" s="62"/>
      <c r="K33" s="157"/>
      <c r="L33" s="21" t="s">
        <v>72</v>
      </c>
      <c r="M33" s="62">
        <f>$F$34-$I$35</f>
        <v>107571.03</v>
      </c>
      <c r="O33" s="270">
        <f>SUM(O25:O32)</f>
        <v>2.2575000000000003</v>
      </c>
      <c r="P33" s="270">
        <f>SUM(P25:P32)</f>
        <v>0.9999999999999998</v>
      </c>
      <c r="R33" s="165"/>
    </row>
    <row r="34" spans="1:18" ht="20.25" customHeight="1">
      <c r="A34" s="50" t="s">
        <v>135</v>
      </c>
      <c r="B34" s="64" t="s">
        <v>86</v>
      </c>
      <c r="C34" s="65"/>
      <c r="D34" s="62">
        <f>+F13+H13</f>
        <v>107571.03</v>
      </c>
      <c r="E34" s="62"/>
      <c r="F34" s="62">
        <f>$D$34</f>
        <v>107571.03</v>
      </c>
      <c r="G34" s="21" t="s">
        <v>72</v>
      </c>
      <c r="H34" s="62"/>
      <c r="I34" s="62"/>
      <c r="K34" s="157"/>
      <c r="L34" s="21" t="s">
        <v>72</v>
      </c>
      <c r="M34" s="62">
        <f>$F$35-$I$34</f>
        <v>108385.99</v>
      </c>
      <c r="R34" s="165"/>
    </row>
    <row r="35" spans="2:18" ht="20.25" customHeight="1">
      <c r="B35" s="64" t="s">
        <v>87</v>
      </c>
      <c r="C35" s="65"/>
      <c r="D35" s="62">
        <f>+F15+F14++H14+H15+F18+H18+F19+H19</f>
        <v>108385.99</v>
      </c>
      <c r="E35" s="62"/>
      <c r="F35" s="62">
        <f>D35+F16+H16</f>
        <v>108385.99</v>
      </c>
      <c r="G35" s="21" t="s">
        <v>72</v>
      </c>
      <c r="H35" s="62">
        <f>J13+K13</f>
        <v>0</v>
      </c>
      <c r="I35" s="62">
        <f>$J$13+$K$13+$J$16+$K$16</f>
        <v>0</v>
      </c>
      <c r="K35" s="160"/>
      <c r="L35" s="21" t="s">
        <v>72</v>
      </c>
      <c r="M35" s="62"/>
      <c r="R35" s="165"/>
    </row>
    <row r="36" spans="2:18" ht="20.25" customHeight="1">
      <c r="B36" s="50" t="s">
        <v>88</v>
      </c>
      <c r="D36" s="62">
        <f>+F20+H20</f>
        <v>215957.02</v>
      </c>
      <c r="E36" s="62"/>
      <c r="F36" s="62">
        <f>$D$36+$F$16+$H$16</f>
        <v>215957.02</v>
      </c>
      <c r="G36" s="21" t="s">
        <v>72</v>
      </c>
      <c r="H36" s="62"/>
      <c r="I36" s="62"/>
      <c r="K36" s="161"/>
      <c r="L36" s="21" t="s">
        <v>72</v>
      </c>
      <c r="M36" s="62"/>
      <c r="R36" s="165"/>
    </row>
    <row r="37" spans="1:18" ht="20.25" customHeight="1">
      <c r="A37" s="50" t="s">
        <v>136</v>
      </c>
      <c r="B37" s="66"/>
      <c r="D37" s="270"/>
      <c r="F37" s="166"/>
      <c r="G37" s="21" t="s">
        <v>72</v>
      </c>
      <c r="H37" s="62">
        <f>H25+H26+H35</f>
        <v>0</v>
      </c>
      <c r="I37" s="62">
        <f>I25+I26+I35</f>
        <v>0</v>
      </c>
      <c r="K37" s="159"/>
      <c r="L37" s="21" t="s">
        <v>72</v>
      </c>
      <c r="M37" s="62" t="e">
        <f>SUM(M25:M35)</f>
        <v>#REF!</v>
      </c>
      <c r="R37" s="165"/>
    </row>
    <row r="38" spans="3:18" ht="20.25" customHeight="1">
      <c r="C38" s="50" t="s">
        <v>89</v>
      </c>
      <c r="D38" s="62">
        <f>ROUND((D25+D26+D28+D29+D30+D31+D32+D33+D36),2)+D27+D37</f>
        <v>38118688.72</v>
      </c>
      <c r="E38" s="62"/>
      <c r="F38" s="62">
        <f>ROUND((F25+F26+F28+F29+F30+F31+F32+F33+F36),2)+F27+F37</f>
        <v>38118688.72</v>
      </c>
      <c r="G38" s="21" t="s">
        <v>72</v>
      </c>
      <c r="H38" s="62"/>
      <c r="L38" s="21" t="s">
        <v>72</v>
      </c>
      <c r="M38" s="62"/>
      <c r="R38" s="165"/>
    </row>
    <row r="39" spans="4:18" ht="20.25" customHeight="1">
      <c r="D39" s="62"/>
      <c r="E39" s="62"/>
      <c r="F39" s="62"/>
      <c r="G39" s="21" t="s">
        <v>72</v>
      </c>
      <c r="M39" s="62" t="e">
        <f>$M$37+$I$37</f>
        <v>#REF!</v>
      </c>
      <c r="R39" s="165"/>
    </row>
    <row r="40" spans="2:7" ht="20.25" customHeight="1">
      <c r="B40" s="50"/>
      <c r="D40" s="62">
        <f>+D28</f>
        <v>7010323.334074074</v>
      </c>
      <c r="E40" s="62"/>
      <c r="F40" s="62">
        <f>+F28</f>
        <v>6996687.599074074</v>
      </c>
      <c r="G40" s="21" t="s">
        <v>72</v>
      </c>
    </row>
    <row r="41" spans="1:9" ht="409.5">
      <c r="A41" s="22" t="s">
        <v>151</v>
      </c>
      <c r="D41" s="62">
        <f>G20</f>
        <v>166290.45</v>
      </c>
      <c r="F41" s="62">
        <f>G20</f>
        <v>166290.45</v>
      </c>
      <c r="G41" s="21" t="s">
        <v>72</v>
      </c>
      <c r="I41" s="165">
        <f>SUM(D41)</f>
        <v>166290.45</v>
      </c>
    </row>
    <row r="42" ht="409.5">
      <c r="D42" s="62"/>
    </row>
    <row r="43" spans="3:6" ht="409.5">
      <c r="C43" s="22" t="s">
        <v>260</v>
      </c>
      <c r="D43" s="165">
        <f>+D38+D41</f>
        <v>38284979.17</v>
      </c>
      <c r="E43" s="165"/>
      <c r="F43" s="165">
        <f>+F38+F41</f>
        <v>38284979.17</v>
      </c>
    </row>
    <row r="44" spans="4:6" ht="409.5">
      <c r="D44" s="165"/>
      <c r="F44" s="165"/>
    </row>
    <row r="45" spans="4:6" ht="409.5">
      <c r="D45" s="62"/>
      <c r="F45" s="62"/>
    </row>
    <row r="47" spans="4:6" ht="409.5">
      <c r="D47" s="165"/>
      <c r="F47" s="165"/>
    </row>
  </sheetData>
  <sheetProtection/>
  <printOptions horizontalCentered="1" verticalCentered="1"/>
  <pageMargins left="0" right="0" top="0.25" bottom="0.34" header="0.17" footer="0.22"/>
  <pageSetup blackAndWhite="1" horizontalDpi="600" verticalDpi="600" orientation="landscape" scale="50" r:id="rId1"/>
</worksheet>
</file>

<file path=xl/worksheets/sheet17.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B7" sqref="B7"/>
    </sheetView>
  </sheetViews>
  <sheetFormatPr defaultColWidth="9.00390625" defaultRowHeight="12.75"/>
  <cols>
    <col min="1" max="1" width="12.625" style="0" bestFit="1" customWidth="1"/>
    <col min="2" max="2" width="13.375" style="0" bestFit="1" customWidth="1"/>
    <col min="3" max="3" width="13.75390625" style="0" customWidth="1"/>
    <col min="4" max="4" width="15.00390625" style="0" customWidth="1"/>
    <col min="5" max="5" width="2.75390625" style="0" customWidth="1"/>
    <col min="6" max="6" width="12.625" style="0" bestFit="1" customWidth="1"/>
    <col min="7" max="7" width="13.375" style="0" bestFit="1" customWidth="1"/>
    <col min="8" max="8" width="2.375" style="0" customWidth="1"/>
    <col min="9" max="9" width="12.625" style="0" bestFit="1" customWidth="1"/>
    <col min="10" max="10" width="13.375" style="0" bestFit="1" customWidth="1"/>
    <col min="11" max="11" width="2.375" style="0" customWidth="1"/>
    <col min="12" max="12" width="13.625" style="0" customWidth="1"/>
    <col min="13" max="13" width="14.125" style="0" customWidth="1"/>
    <col min="14" max="14" width="13.00390625" style="0" customWidth="1"/>
    <col min="15" max="15" width="13.25390625" style="0" customWidth="1"/>
  </cols>
  <sheetData>
    <row r="1" spans="1:15" ht="12.75">
      <c r="A1" s="347" t="s">
        <v>110</v>
      </c>
      <c r="B1" s="348"/>
      <c r="C1" s="347" t="s">
        <v>110</v>
      </c>
      <c r="D1" s="348"/>
      <c r="E1" s="151"/>
      <c r="F1" s="347" t="s">
        <v>110</v>
      </c>
      <c r="G1" s="348"/>
      <c r="I1" s="347" t="s">
        <v>110</v>
      </c>
      <c r="J1" s="348"/>
      <c r="L1" s="347" t="s">
        <v>110</v>
      </c>
      <c r="M1" s="348"/>
      <c r="N1" s="347" t="s">
        <v>110</v>
      </c>
      <c r="O1" s="348"/>
    </row>
    <row r="2" spans="1:15" ht="12.75">
      <c r="A2" s="349" t="s">
        <v>111</v>
      </c>
      <c r="B2" s="350"/>
      <c r="C2" s="349" t="s">
        <v>111</v>
      </c>
      <c r="D2" s="350"/>
      <c r="E2" s="152"/>
      <c r="F2" s="349" t="s">
        <v>111</v>
      </c>
      <c r="G2" s="350"/>
      <c r="I2" s="349" t="s">
        <v>111</v>
      </c>
      <c r="J2" s="350"/>
      <c r="L2" s="349" t="s">
        <v>111</v>
      </c>
      <c r="M2" s="350"/>
      <c r="N2" s="349" t="s">
        <v>111</v>
      </c>
      <c r="O2" s="350"/>
    </row>
    <row r="3" spans="1:15" ht="12.75">
      <c r="A3" s="91" t="s">
        <v>109</v>
      </c>
      <c r="B3" s="92" t="s">
        <v>108</v>
      </c>
      <c r="C3" s="91" t="s">
        <v>109</v>
      </c>
      <c r="D3" s="92" t="s">
        <v>108</v>
      </c>
      <c r="E3" s="152"/>
      <c r="F3" s="91" t="s">
        <v>109</v>
      </c>
      <c r="G3" s="92" t="s">
        <v>108</v>
      </c>
      <c r="I3" s="91" t="s">
        <v>109</v>
      </c>
      <c r="J3" s="92" t="s">
        <v>108</v>
      </c>
      <c r="L3" s="91" t="s">
        <v>109</v>
      </c>
      <c r="M3" s="92" t="s">
        <v>108</v>
      </c>
      <c r="N3" s="91" t="s">
        <v>109</v>
      </c>
      <c r="O3" s="92" t="s">
        <v>108</v>
      </c>
    </row>
    <row r="4" spans="1:15" ht="12.75">
      <c r="A4" s="146"/>
      <c r="B4" s="147" t="s">
        <v>130</v>
      </c>
      <c r="C4" s="146"/>
      <c r="D4" s="147" t="s">
        <v>124</v>
      </c>
      <c r="F4" s="146"/>
      <c r="G4" s="147" t="s">
        <v>128</v>
      </c>
      <c r="I4" s="93"/>
      <c r="J4" s="94" t="s">
        <v>127</v>
      </c>
      <c r="L4" s="93"/>
      <c r="M4" s="94" t="s">
        <v>126</v>
      </c>
      <c r="N4" s="93"/>
      <c r="O4" s="94" t="s">
        <v>125</v>
      </c>
    </row>
    <row r="5" spans="1:15" ht="12.75">
      <c r="A5" s="93">
        <v>37803</v>
      </c>
      <c r="B5" s="94">
        <v>193137.51</v>
      </c>
      <c r="C5" s="93">
        <v>37438</v>
      </c>
      <c r="D5" s="94">
        <v>177969.11</v>
      </c>
      <c r="F5" s="93">
        <v>35977</v>
      </c>
      <c r="G5" s="150">
        <v>256011.43</v>
      </c>
      <c r="I5" s="93">
        <v>36342</v>
      </c>
      <c r="J5" s="94">
        <v>246266.1</v>
      </c>
      <c r="L5" s="93">
        <v>36708</v>
      </c>
      <c r="M5" s="94">
        <v>153957.42</v>
      </c>
      <c r="N5" s="93">
        <v>37073</v>
      </c>
      <c r="O5" s="94">
        <v>168557.79</v>
      </c>
    </row>
    <row r="6" spans="1:15" ht="12.75">
      <c r="A6" s="93">
        <v>37834</v>
      </c>
      <c r="B6" s="94">
        <v>180763.31</v>
      </c>
      <c r="C6" s="93">
        <v>37469</v>
      </c>
      <c r="D6" s="94">
        <v>159647.42</v>
      </c>
      <c r="F6" s="93">
        <v>36008</v>
      </c>
      <c r="G6" s="150">
        <v>237383.22</v>
      </c>
      <c r="I6" s="93">
        <v>36373</v>
      </c>
      <c r="J6" s="94">
        <v>126223.7</v>
      </c>
      <c r="L6" s="93">
        <v>36739</v>
      </c>
      <c r="M6" s="94">
        <v>160126.63</v>
      </c>
      <c r="N6" s="93">
        <v>37104</v>
      </c>
      <c r="O6" s="94">
        <v>161314.87</v>
      </c>
    </row>
    <row r="7" spans="1:15" ht="12.75">
      <c r="A7" s="93">
        <v>37865</v>
      </c>
      <c r="B7" s="150"/>
      <c r="C7" s="93">
        <v>37500</v>
      </c>
      <c r="D7" s="150">
        <v>154822.9</v>
      </c>
      <c r="F7" s="93">
        <v>36039</v>
      </c>
      <c r="G7" s="150">
        <v>234952.39</v>
      </c>
      <c r="I7" s="95">
        <v>36404</v>
      </c>
      <c r="J7" s="94">
        <v>137312.65</v>
      </c>
      <c r="L7" s="93">
        <v>36770</v>
      </c>
      <c r="M7" s="94">
        <v>154328.46</v>
      </c>
      <c r="N7" s="93">
        <v>37135</v>
      </c>
      <c r="O7" s="94">
        <v>147723.25</v>
      </c>
    </row>
    <row r="8" spans="1:15" ht="12.75">
      <c r="A8" s="93">
        <v>37895</v>
      </c>
      <c r="B8" s="94"/>
      <c r="C8" s="93">
        <v>37530</v>
      </c>
      <c r="D8" s="94">
        <v>159287.36</v>
      </c>
      <c r="F8" s="93">
        <v>36069</v>
      </c>
      <c r="G8" s="150">
        <v>252151.39</v>
      </c>
      <c r="I8" s="95">
        <v>36434</v>
      </c>
      <c r="J8" s="94">
        <v>124711.43</v>
      </c>
      <c r="L8" s="93">
        <v>36800</v>
      </c>
      <c r="M8" s="94">
        <v>150720.09</v>
      </c>
      <c r="N8" s="93">
        <v>37165</v>
      </c>
      <c r="O8" s="94">
        <v>152987.2</v>
      </c>
    </row>
    <row r="9" spans="1:15" ht="12.75">
      <c r="A9" s="93">
        <v>37926</v>
      </c>
      <c r="B9" s="150"/>
      <c r="C9" s="93">
        <v>37561</v>
      </c>
      <c r="D9" s="150">
        <v>148121.87</v>
      </c>
      <c r="F9" s="93">
        <v>36100</v>
      </c>
      <c r="G9" s="150">
        <v>225952.78</v>
      </c>
      <c r="I9" s="95">
        <v>36465</v>
      </c>
      <c r="J9" s="94">
        <v>155505.45</v>
      </c>
      <c r="L9" s="93">
        <v>36831</v>
      </c>
      <c r="M9" s="94">
        <v>150480.96</v>
      </c>
      <c r="N9" s="93">
        <v>37196</v>
      </c>
      <c r="O9" s="94">
        <v>161456.13</v>
      </c>
    </row>
    <row r="10" spans="1:15" ht="12.75">
      <c r="A10" s="93">
        <v>37956</v>
      </c>
      <c r="B10" s="150"/>
      <c r="C10" s="93">
        <v>37591</v>
      </c>
      <c r="D10" s="150">
        <v>160388.21</v>
      </c>
      <c r="F10" s="93">
        <v>36130</v>
      </c>
      <c r="G10" s="150">
        <v>236949.29</v>
      </c>
      <c r="I10" s="95">
        <v>36495</v>
      </c>
      <c r="J10" s="94">
        <v>142589.38</v>
      </c>
      <c r="L10" s="93">
        <v>36861</v>
      </c>
      <c r="M10" s="94">
        <v>149732.39</v>
      </c>
      <c r="N10" s="93">
        <v>37226</v>
      </c>
      <c r="O10" s="94">
        <v>151297.54</v>
      </c>
    </row>
    <row r="11" spans="1:15" ht="12.75">
      <c r="A11" s="93">
        <v>37987</v>
      </c>
      <c r="B11" s="150"/>
      <c r="C11" s="93">
        <v>37622</v>
      </c>
      <c r="D11" s="150">
        <v>196327.13</v>
      </c>
      <c r="F11" s="93">
        <v>36161</v>
      </c>
      <c r="G11" s="150">
        <v>268879.78</v>
      </c>
      <c r="I11" s="95">
        <v>36526</v>
      </c>
      <c r="J11" s="94">
        <v>155267.23</v>
      </c>
      <c r="L11" s="93">
        <v>36892</v>
      </c>
      <c r="M11" s="94">
        <v>168427.1</v>
      </c>
      <c r="N11" s="93">
        <v>37257</v>
      </c>
      <c r="O11" s="94">
        <v>189197.04</v>
      </c>
    </row>
    <row r="12" spans="1:15" ht="12.75">
      <c r="A12" s="93">
        <v>38018</v>
      </c>
      <c r="B12" s="150"/>
      <c r="C12" s="93">
        <v>37653</v>
      </c>
      <c r="D12" s="150">
        <v>159938.31</v>
      </c>
      <c r="F12" s="93">
        <v>36192</v>
      </c>
      <c r="G12" s="150">
        <v>185938.73</v>
      </c>
      <c r="I12" s="95">
        <v>36557</v>
      </c>
      <c r="J12" s="94">
        <v>212996.52</v>
      </c>
      <c r="L12" s="93">
        <v>36923</v>
      </c>
      <c r="M12" s="94">
        <v>140652.15</v>
      </c>
      <c r="N12" s="93">
        <v>37288</v>
      </c>
      <c r="O12" s="94">
        <v>140638.06</v>
      </c>
    </row>
    <row r="13" spans="1:15" ht="12.75">
      <c r="A13" s="93">
        <v>38047</v>
      </c>
      <c r="B13" s="150"/>
      <c r="C13" s="93">
        <v>37681</v>
      </c>
      <c r="D13" s="150">
        <v>159948.31</v>
      </c>
      <c r="F13" s="93">
        <v>36220</v>
      </c>
      <c r="G13" s="150">
        <v>244372.89</v>
      </c>
      <c r="I13" s="95">
        <v>36586</v>
      </c>
      <c r="J13" s="94">
        <v>245488.97</v>
      </c>
      <c r="L13" s="93">
        <v>36951</v>
      </c>
      <c r="M13" s="94">
        <v>160471.93</v>
      </c>
      <c r="N13" s="93">
        <v>37316</v>
      </c>
      <c r="O13" s="94">
        <v>143594.64</v>
      </c>
    </row>
    <row r="14" spans="1:15" ht="12.75">
      <c r="A14" s="93">
        <v>38078</v>
      </c>
      <c r="B14" s="150"/>
      <c r="C14" s="93">
        <v>37712</v>
      </c>
      <c r="D14" s="150">
        <v>143945.7</v>
      </c>
      <c r="F14" s="93">
        <v>36251</v>
      </c>
      <c r="G14" s="150">
        <v>248853.22</v>
      </c>
      <c r="I14" s="93">
        <v>36617</v>
      </c>
      <c r="J14" s="94">
        <v>221058.62</v>
      </c>
      <c r="L14" s="93">
        <v>36982</v>
      </c>
      <c r="M14" s="94">
        <v>150513.95</v>
      </c>
      <c r="N14" s="93">
        <v>37347</v>
      </c>
      <c r="O14" s="94">
        <v>142378.42</v>
      </c>
    </row>
    <row r="15" spans="1:15" ht="12.75">
      <c r="A15" s="93">
        <v>38108</v>
      </c>
      <c r="B15" s="150"/>
      <c r="C15" s="93">
        <v>37742</v>
      </c>
      <c r="D15" s="150">
        <v>163704.62</v>
      </c>
      <c r="F15" s="93">
        <v>36281</v>
      </c>
      <c r="G15" s="150">
        <v>223822.46</v>
      </c>
      <c r="I15" s="93">
        <v>36647</v>
      </c>
      <c r="J15" s="94">
        <v>262859.56</v>
      </c>
      <c r="L15" s="93">
        <v>37012</v>
      </c>
      <c r="M15" s="94">
        <v>153443.62</v>
      </c>
      <c r="N15" s="93">
        <v>37377</v>
      </c>
      <c r="O15" s="94">
        <v>305255.81</v>
      </c>
    </row>
    <row r="16" spans="1:15" ht="12.75">
      <c r="A16" s="93">
        <v>38139</v>
      </c>
      <c r="B16" s="150"/>
      <c r="C16" s="93">
        <v>37773</v>
      </c>
      <c r="D16" s="150">
        <v>170197.89</v>
      </c>
      <c r="F16" s="93">
        <v>36312</v>
      </c>
      <c r="G16" s="150">
        <v>235852.15</v>
      </c>
      <c r="I16" s="93">
        <v>36678</v>
      </c>
      <c r="J16" s="94">
        <v>156026.89</v>
      </c>
      <c r="L16" s="93">
        <v>37043</v>
      </c>
      <c r="M16" s="94">
        <v>170463.17</v>
      </c>
      <c r="N16" s="93">
        <v>37408</v>
      </c>
      <c r="O16" s="94">
        <v>145389.73</v>
      </c>
    </row>
    <row r="17" spans="1:15" ht="12.75">
      <c r="A17" s="146"/>
      <c r="B17" s="147"/>
      <c r="C17" s="146"/>
      <c r="D17" s="147"/>
      <c r="F17" s="93"/>
      <c r="G17" s="147"/>
      <c r="I17" s="93"/>
      <c r="J17" s="94"/>
      <c r="L17" s="93"/>
      <c r="M17" s="94"/>
      <c r="N17" s="93"/>
      <c r="O17" s="94"/>
    </row>
    <row r="18" spans="1:15" ht="12.75">
      <c r="A18" s="146"/>
      <c r="B18" s="149"/>
      <c r="C18" s="146"/>
      <c r="D18" s="149"/>
      <c r="F18" s="146"/>
      <c r="G18" s="147"/>
      <c r="I18" s="93"/>
      <c r="J18" s="94"/>
      <c r="L18" s="93"/>
      <c r="M18" s="94"/>
      <c r="N18" s="93"/>
      <c r="O18" s="94"/>
    </row>
    <row r="19" spans="1:15" ht="12.75">
      <c r="A19" s="146"/>
      <c r="B19" s="149"/>
      <c r="C19" s="146"/>
      <c r="D19" s="149"/>
      <c r="F19" s="146"/>
      <c r="G19" s="149"/>
      <c r="I19" s="93"/>
      <c r="J19" s="97"/>
      <c r="L19" s="93"/>
      <c r="M19" s="97"/>
      <c r="N19" s="93"/>
      <c r="O19" s="97"/>
    </row>
    <row r="20" spans="1:15" ht="12.75">
      <c r="A20" s="146"/>
      <c r="B20" s="150">
        <f>SUM(B5:B19)</f>
        <v>373900.82</v>
      </c>
      <c r="C20" s="146"/>
      <c r="D20" s="150">
        <f>SUM(D5:D19)</f>
        <v>1954298.83</v>
      </c>
      <c r="F20" s="146"/>
      <c r="G20" s="150">
        <f>SUM(G5:G19)</f>
        <v>2851119.73</v>
      </c>
      <c r="I20" s="93"/>
      <c r="J20" s="150">
        <f>SUM(J5:J19)</f>
        <v>2186306.5</v>
      </c>
      <c r="L20" s="93"/>
      <c r="M20" s="150">
        <f>SUM(M5:M19)</f>
        <v>1863317.8699999996</v>
      </c>
      <c r="N20" s="93"/>
      <c r="O20" s="150">
        <f>SUM(O5:O19)</f>
        <v>2009790.48</v>
      </c>
    </row>
    <row r="21" spans="3:13" ht="12.75">
      <c r="C21" s="146"/>
      <c r="D21" s="147"/>
      <c r="F21" s="146"/>
      <c r="G21" s="147"/>
      <c r="I21" s="93"/>
      <c r="J21" s="94"/>
      <c r="L21" s="93"/>
      <c r="M21" s="94"/>
    </row>
    <row r="22" spans="3:13" ht="12.75">
      <c r="C22" s="146"/>
      <c r="D22" s="147"/>
      <c r="F22" s="146"/>
      <c r="G22" s="147"/>
      <c r="I22" s="93"/>
      <c r="J22" s="94"/>
      <c r="L22" s="93"/>
      <c r="M22" s="94"/>
    </row>
    <row r="23" spans="3:13" ht="12.75">
      <c r="C23" s="146"/>
      <c r="D23" s="147"/>
      <c r="F23" s="146"/>
      <c r="G23" s="147"/>
      <c r="I23" s="93"/>
      <c r="J23" s="94"/>
      <c r="L23" s="93"/>
      <c r="M23" s="94"/>
    </row>
    <row r="24" spans="3:13" ht="12.75">
      <c r="C24" s="146"/>
      <c r="D24" s="147"/>
      <c r="F24" s="146"/>
      <c r="G24" s="147"/>
      <c r="I24" s="93"/>
      <c r="J24" s="94"/>
      <c r="L24" s="93"/>
      <c r="M24" s="94"/>
    </row>
    <row r="25" spans="3:13" ht="12.75">
      <c r="C25" s="148"/>
      <c r="D25" s="149"/>
      <c r="F25" s="148"/>
      <c r="G25" s="149"/>
      <c r="I25" s="96"/>
      <c r="J25" s="97"/>
      <c r="L25" s="96"/>
      <c r="M25" s="97"/>
    </row>
  </sheetData>
  <sheetProtection/>
  <mergeCells count="12">
    <mergeCell ref="F1:G1"/>
    <mergeCell ref="F2:G2"/>
    <mergeCell ref="A1:B1"/>
    <mergeCell ref="A2:B2"/>
    <mergeCell ref="C1:D1"/>
    <mergeCell ref="C2:D2"/>
    <mergeCell ref="N1:O1"/>
    <mergeCell ref="N2:O2"/>
    <mergeCell ref="L1:M1"/>
    <mergeCell ref="L2:M2"/>
    <mergeCell ref="I1:J1"/>
    <mergeCell ref="I2:J2"/>
  </mergeCells>
  <printOptions/>
  <pageMargins left="0.75" right="0.75" top="1" bottom="1" header="0.5" footer="0.5"/>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J78"/>
  <sheetViews>
    <sheetView tabSelected="1" zoomScale="90" zoomScaleNormal="90" zoomScalePageLayoutView="0" workbookViewId="0" topLeftCell="E1">
      <selection activeCell="AE43" sqref="AE43"/>
    </sheetView>
  </sheetViews>
  <sheetFormatPr defaultColWidth="9.00390625" defaultRowHeight="12.75"/>
  <cols>
    <col min="1" max="1" width="11.125" style="0" hidden="1" customWidth="1"/>
    <col min="2" max="4" width="9.125" style="0" hidden="1" customWidth="1"/>
    <col min="5" max="5" width="6.125" style="0" bestFit="1" customWidth="1"/>
    <col min="6" max="6" width="14.875" style="0" customWidth="1"/>
    <col min="7" max="7" width="12.25390625" style="0" bestFit="1" customWidth="1"/>
    <col min="8" max="9" width="12.75390625" style="0" bestFit="1" customWidth="1"/>
    <col min="10" max="10" width="9.25390625" style="0" customWidth="1"/>
    <col min="11" max="11" width="12.875" style="0" customWidth="1"/>
    <col min="12" max="12" width="6.00390625" style="0" customWidth="1"/>
    <col min="13" max="13" width="9.125" style="0" hidden="1" customWidth="1"/>
    <col min="14" max="15" width="11.75390625" style="0" hidden="1" customWidth="1"/>
    <col min="16" max="16" width="9.125" style="0" hidden="1" customWidth="1"/>
    <col min="17" max="17" width="11.75390625" style="0" bestFit="1" customWidth="1"/>
    <col min="18" max="18" width="11.75390625" style="0" customWidth="1"/>
    <col min="19" max="19" width="13.00390625" style="0" customWidth="1"/>
    <col min="20" max="20" width="12.25390625" style="0" customWidth="1"/>
    <col min="21" max="21" width="9.25390625" style="0" bestFit="1" customWidth="1"/>
    <col min="22" max="22" width="13.00390625" style="0" customWidth="1"/>
    <col min="23" max="23" width="6.125" style="0" bestFit="1" customWidth="1"/>
    <col min="24" max="24" width="12.75390625" style="0" hidden="1" customWidth="1"/>
    <col min="25" max="25" width="10.125" style="0" hidden="1" customWidth="1"/>
    <col min="26" max="26" width="9.125" style="0" hidden="1" customWidth="1"/>
    <col min="27" max="27" width="13.875" style="0" bestFit="1" customWidth="1"/>
    <col min="28" max="28" width="9.25390625" style="0" bestFit="1" customWidth="1"/>
    <col min="29" max="29" width="11.625" style="0" customWidth="1"/>
    <col min="30" max="30" width="13.875" style="0" bestFit="1" customWidth="1"/>
    <col min="31" max="31" width="9.25390625" style="0" bestFit="1" customWidth="1"/>
    <col min="32" max="32" width="12.75390625" style="0" customWidth="1"/>
    <col min="34" max="34" width="17.625" style="0" customWidth="1"/>
    <col min="35" max="35" width="12.75390625" style="218" bestFit="1" customWidth="1"/>
    <col min="36" max="36" width="10.75390625" style="0" bestFit="1" customWidth="1"/>
  </cols>
  <sheetData>
    <row r="1" spans="7:9" ht="13.5" thickBot="1">
      <c r="G1" s="213"/>
      <c r="H1" s="213"/>
      <c r="I1" s="213"/>
    </row>
    <row r="2" spans="5:32" ht="18">
      <c r="E2" s="214"/>
      <c r="F2" s="326" t="s">
        <v>107</v>
      </c>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7"/>
    </row>
    <row r="3" spans="5:32" ht="12.75">
      <c r="E3" s="215"/>
      <c r="F3" s="328" t="s">
        <v>197</v>
      </c>
      <c r="G3" s="329"/>
      <c r="H3" s="329"/>
      <c r="I3" s="329"/>
      <c r="J3" s="329"/>
      <c r="K3" s="330"/>
      <c r="L3" s="268"/>
      <c r="M3" s="216"/>
      <c r="N3" s="216"/>
      <c r="O3" s="216"/>
      <c r="P3" s="216"/>
      <c r="Q3" s="328" t="s">
        <v>198</v>
      </c>
      <c r="R3" s="329"/>
      <c r="S3" s="329"/>
      <c r="T3" s="329"/>
      <c r="U3" s="329"/>
      <c r="V3" s="330"/>
      <c r="W3" s="268"/>
      <c r="X3" s="216"/>
      <c r="Y3" s="216"/>
      <c r="Z3" s="216"/>
      <c r="AA3" s="328" t="s">
        <v>199</v>
      </c>
      <c r="AB3" s="329"/>
      <c r="AC3" s="329"/>
      <c r="AD3" s="329"/>
      <c r="AE3" s="329"/>
      <c r="AF3" s="331"/>
    </row>
    <row r="4" spans="5:32" ht="25.5">
      <c r="E4" s="215" t="s">
        <v>29</v>
      </c>
      <c r="F4" s="261" t="s">
        <v>231</v>
      </c>
      <c r="G4" s="262" t="s">
        <v>200</v>
      </c>
      <c r="H4" s="263" t="s">
        <v>201</v>
      </c>
      <c r="I4" s="261" t="s">
        <v>242</v>
      </c>
      <c r="J4" s="262" t="s">
        <v>200</v>
      </c>
      <c r="K4" s="263" t="s">
        <v>201</v>
      </c>
      <c r="L4" s="147" t="s">
        <v>29</v>
      </c>
      <c r="M4" s="216"/>
      <c r="N4" s="216"/>
      <c r="O4" s="216"/>
      <c r="P4" s="216"/>
      <c r="Q4" s="212" t="s">
        <v>231</v>
      </c>
      <c r="R4" s="151" t="s">
        <v>200</v>
      </c>
      <c r="S4" s="255" t="s">
        <v>201</v>
      </c>
      <c r="T4" s="261" t="s">
        <v>242</v>
      </c>
      <c r="U4" s="262" t="s">
        <v>200</v>
      </c>
      <c r="V4" s="263" t="s">
        <v>201</v>
      </c>
      <c r="W4" s="149" t="s">
        <v>29</v>
      </c>
      <c r="X4" s="216"/>
      <c r="Y4" s="216"/>
      <c r="Z4" s="216"/>
      <c r="AA4" s="212" t="s">
        <v>231</v>
      </c>
      <c r="AB4" s="151" t="s">
        <v>200</v>
      </c>
      <c r="AC4" s="255" t="s">
        <v>201</v>
      </c>
      <c r="AD4" s="261" t="s">
        <v>242</v>
      </c>
      <c r="AE4" s="262" t="s">
        <v>200</v>
      </c>
      <c r="AF4" s="284" t="s">
        <v>201</v>
      </c>
    </row>
    <row r="5" spans="1:32" ht="12.75">
      <c r="A5" s="218">
        <f>+'General Fund'!D37+'.225% Dist.'!B7</f>
        <v>17069434</v>
      </c>
      <c r="B5" s="218"/>
      <c r="E5" s="219" t="s">
        <v>6</v>
      </c>
      <c r="F5" s="265">
        <f>+'General Fund'!F37+'.225% Dist.'!F7</f>
        <v>18003314</v>
      </c>
      <c r="G5" s="221">
        <f aca="true" t="shared" si="0" ref="G5:G18">+F5/A5-1</f>
        <v>0.054710660001966005</v>
      </c>
      <c r="H5" s="223">
        <f>SUM(F$5:F5)/SUM(A$5:A5)-1</f>
        <v>0.054710660001966005</v>
      </c>
      <c r="I5" s="226">
        <f>+'General Fund'!H37+'.225% Dist.'!H7</f>
        <v>17802528</v>
      </c>
      <c r="J5" s="227">
        <f aca="true" t="shared" si="1" ref="J5:J10">+I5/F5-1</f>
        <v>-0.011152724437289763</v>
      </c>
      <c r="K5" s="228">
        <f>SUM(I$5:I5)/SUM(F$5:F5)-1</f>
        <v>-0.011152724437289763</v>
      </c>
      <c r="L5" s="264" t="s">
        <v>6</v>
      </c>
      <c r="M5" s="216"/>
      <c r="N5" s="224">
        <f>+'.25% Dist'!D60</f>
        <v>3412206</v>
      </c>
      <c r="O5" s="224"/>
      <c r="P5" s="224"/>
      <c r="Q5" s="220">
        <f>+'.25% Dist'!F60</f>
        <v>3598870</v>
      </c>
      <c r="R5" s="221">
        <f>+Q5/N5-1</f>
        <v>0.054704786287814944</v>
      </c>
      <c r="S5" s="221">
        <f>SUM(Q$5:Q5)/SUM(N$5:N5)-1</f>
        <v>0.054704786287814944</v>
      </c>
      <c r="T5" s="226">
        <f>+'.25% Dist'!H60</f>
        <v>3570092</v>
      </c>
      <c r="U5" s="227">
        <f aca="true" t="shared" si="2" ref="U5:U10">+T5/Q5-1</f>
        <v>-0.007996398869645205</v>
      </c>
      <c r="V5" s="228">
        <f>SUM(T$5:T5)/SUM(Q$5:Q5)-1</f>
        <v>-0.007996398869645205</v>
      </c>
      <c r="W5" s="92" t="s">
        <v>6</v>
      </c>
      <c r="X5" s="224">
        <f>+'.0625% Dist'!B8+'.225% Dist.'!B33</f>
        <v>8046087</v>
      </c>
      <c r="Y5" s="216"/>
      <c r="Z5" s="216"/>
      <c r="AA5" s="220">
        <f>+'.0625% Dist'!F8+'.225% Dist.'!F33</f>
        <v>8311110</v>
      </c>
      <c r="AB5" s="221">
        <f>+AA5/X5-1</f>
        <v>0.03293812259300699</v>
      </c>
      <c r="AC5" s="221">
        <f>SUM(AA$5:AA5)/SUM(X$5:X5)-1</f>
        <v>0.03293812259300699</v>
      </c>
      <c r="AD5" s="256">
        <f>+'.0625% Dist'!H8+'.225% Dist.'!H33</f>
        <v>8236481</v>
      </c>
      <c r="AE5" s="227">
        <f aca="true" t="shared" si="3" ref="AE5:AE10">+AD5/AA5-1</f>
        <v>-0.008979426334147944</v>
      </c>
      <c r="AF5" s="229">
        <f>SUM(AD$5:AD5)/SUM(AA$5:AA5)-1</f>
        <v>-0.008979426334147944</v>
      </c>
    </row>
    <row r="6" spans="1:32" ht="12.75">
      <c r="A6" s="218">
        <f>+'General Fund'!D38+'.225% Dist.'!B8</f>
        <v>15921818</v>
      </c>
      <c r="B6" s="218"/>
      <c r="E6" s="225" t="s">
        <v>7</v>
      </c>
      <c r="F6" s="260">
        <f>+'General Fund'!F38+'.225% Dist.'!F8</f>
        <v>15970134</v>
      </c>
      <c r="G6" s="227">
        <f t="shared" si="0"/>
        <v>0.0030345780864973193</v>
      </c>
      <c r="H6" s="228">
        <f>SUM(F$5:F6)/SUM(A$5:A6)-1</f>
        <v>0.02977140728093608</v>
      </c>
      <c r="I6" s="226">
        <f>+'General Fund'!H38+'.225% Dist.'!H8</f>
        <v>16564792</v>
      </c>
      <c r="J6" s="227">
        <f t="shared" si="1"/>
        <v>0.037235629957769856</v>
      </c>
      <c r="K6" s="228">
        <f>SUM(I$5:I6)/SUM(F$5:F6)-1</f>
        <v>0.011593524448857861</v>
      </c>
      <c r="L6" s="92" t="s">
        <v>7</v>
      </c>
      <c r="M6" s="216"/>
      <c r="N6" s="224">
        <f>+'.25% Dist'!D61</f>
        <v>3169596</v>
      </c>
      <c r="O6" s="224"/>
      <c r="P6" s="224"/>
      <c r="Q6" s="226">
        <f>+'.25% Dist'!F61</f>
        <v>3181115</v>
      </c>
      <c r="R6" s="227">
        <f>+Q6/N6-1</f>
        <v>0.0036342171052714534</v>
      </c>
      <c r="S6" s="227">
        <f>SUM(Q$5:Q6)/SUM(N$5:N6)-1</f>
        <v>0.030110750824774213</v>
      </c>
      <c r="T6" s="226">
        <f>+'.25% Dist'!H61</f>
        <v>3320796</v>
      </c>
      <c r="U6" s="227">
        <f t="shared" si="2"/>
        <v>0.043909446844895506</v>
      </c>
      <c r="V6" s="228">
        <f>SUM(T$5:T6)/SUM(Q$5:Q6)-1</f>
        <v>0.016357410820230456</v>
      </c>
      <c r="W6" s="92" t="s">
        <v>7</v>
      </c>
      <c r="X6" s="224">
        <f>+'.0625% Dist'!B9+'.225% Dist.'!B34</f>
        <v>7673496</v>
      </c>
      <c r="Y6" s="216"/>
      <c r="Z6" s="216"/>
      <c r="AA6" s="226">
        <f>+'.0625% Dist'!F9+'.225% Dist.'!F34</f>
        <v>7354196</v>
      </c>
      <c r="AB6" s="227">
        <f>+AA6/X6-1</f>
        <v>-0.04161075994566232</v>
      </c>
      <c r="AC6" s="227">
        <f>SUM(AA$5:AA6)/SUM(X$5:X6)-1</f>
        <v>-0.0034528269611223683</v>
      </c>
      <c r="AD6" s="256">
        <f>+'.0625% Dist'!H9+'.225% Dist.'!H34</f>
        <v>7664621</v>
      </c>
      <c r="AE6" s="227">
        <f t="shared" si="3"/>
        <v>0.04221059650844228</v>
      </c>
      <c r="AF6" s="229">
        <f>SUM(AD$5:AD6)/SUM(AA$5:AA6)-1</f>
        <v>0.015052115802908661</v>
      </c>
    </row>
    <row r="7" spans="1:32" ht="12.75">
      <c r="A7" s="218">
        <f>+'General Fund'!D39+'.225% Dist.'!B9</f>
        <v>15882669</v>
      </c>
      <c r="B7" s="218"/>
      <c r="E7" s="225" t="s">
        <v>8</v>
      </c>
      <c r="F7" s="260">
        <f>+'General Fund'!F39+'.225% Dist.'!F9</f>
        <v>15668628</v>
      </c>
      <c r="G7" s="227">
        <f t="shared" si="0"/>
        <v>-0.013476387375446763</v>
      </c>
      <c r="H7" s="228">
        <f>SUM(F$5:F7)/SUM(A$5:A7)-1</f>
        <v>0.015717073324237774</v>
      </c>
      <c r="I7" s="226">
        <f>+'General Fund'!H39+'.225% Dist.'!H9</f>
        <v>17112536</v>
      </c>
      <c r="J7" s="227">
        <f t="shared" si="1"/>
        <v>0.09215280367879042</v>
      </c>
      <c r="K7" s="228">
        <f>SUM(I$5:I7)/SUM(F$5:F7)-1</f>
        <v>0.03702061130561907</v>
      </c>
      <c r="L7" s="92" t="s">
        <v>8</v>
      </c>
      <c r="M7" s="216"/>
      <c r="N7" s="224">
        <f>+'.25% Dist'!D62</f>
        <v>3210706</v>
      </c>
      <c r="O7" s="224"/>
      <c r="P7" s="224"/>
      <c r="Q7" s="226">
        <f>+'.25% Dist'!F62</f>
        <v>3138082</v>
      </c>
      <c r="R7" s="227">
        <f aca="true" t="shared" si="4" ref="R7:R18">+Q7/N7-1</f>
        <v>-0.022619324223395076</v>
      </c>
      <c r="S7" s="227">
        <f>SUM(Q$5:Q7)/SUM(N$5:N7)-1</f>
        <v>0.012821945103338228</v>
      </c>
      <c r="T7" s="226">
        <f>+'.25% Dist'!H62</f>
        <v>3424092</v>
      </c>
      <c r="U7" s="227">
        <f t="shared" si="2"/>
        <v>0.09114165914083827</v>
      </c>
      <c r="V7" s="228">
        <f>SUM(T$5:T7)/SUM(Q$5:Q7)-1</f>
        <v>0.04001918922306125</v>
      </c>
      <c r="W7" s="92" t="s">
        <v>8</v>
      </c>
      <c r="X7" s="224">
        <f>+'.0625% Dist'!B10+'.225% Dist.'!B35</f>
        <v>7154910</v>
      </c>
      <c r="Y7" s="216"/>
      <c r="Z7" s="216"/>
      <c r="AA7" s="226">
        <f>+'.0625% Dist'!F10+'.225% Dist.'!F35</f>
        <v>7242410</v>
      </c>
      <c r="AB7" s="227">
        <f aca="true" t="shared" si="5" ref="AB7:AB18">+AA7/X7-1</f>
        <v>0.012229364170897927</v>
      </c>
      <c r="AC7" s="227">
        <f>SUM(AA$5:AA7)/SUM(X$5:X7)-1</f>
        <v>0.0014524037756815655</v>
      </c>
      <c r="AD7" s="256">
        <f>+'.0625% Dist'!H10+'.225% Dist.'!H35</f>
        <v>7905868</v>
      </c>
      <c r="AE7" s="227">
        <f t="shared" si="3"/>
        <v>0.09160735169646572</v>
      </c>
      <c r="AF7" s="229">
        <f>SUM(AD$5:AD7)/SUM(AA$5:AA7)-1</f>
        <v>0.03925550674715894</v>
      </c>
    </row>
    <row r="8" spans="1:32" ht="12.75">
      <c r="A8" s="218">
        <f>+'General Fund'!D40+'.225% Dist.'!B10</f>
        <v>18406846</v>
      </c>
      <c r="B8" s="218"/>
      <c r="E8" s="225" t="s">
        <v>9</v>
      </c>
      <c r="F8" s="260">
        <f>+'General Fund'!F40+'.225% Dist.'!F10</f>
        <v>16536708</v>
      </c>
      <c r="G8" s="227">
        <f t="shared" si="0"/>
        <v>-0.1016001329070716</v>
      </c>
      <c r="H8" s="228">
        <f>SUM(F$5:F8)/SUM(A$5:A8)-1</f>
        <v>-0.016378870948364765</v>
      </c>
      <c r="I8" s="226">
        <f>+'General Fund'!H40+'.225% Dist.'!H10</f>
        <v>16181229</v>
      </c>
      <c r="J8" s="227">
        <f t="shared" si="1"/>
        <v>-0.021496358283643824</v>
      </c>
      <c r="K8" s="228">
        <f>SUM(I$5:I8)/SUM(F$5:F8)-1</f>
        <v>0.022398432101744303</v>
      </c>
      <c r="L8" s="92" t="s">
        <v>9</v>
      </c>
      <c r="M8" s="216"/>
      <c r="N8" s="224">
        <f>+'.25% Dist'!D63</f>
        <v>3867750</v>
      </c>
      <c r="O8" s="224"/>
      <c r="P8" s="224"/>
      <c r="Q8" s="226">
        <f>+'.25% Dist'!F63</f>
        <v>3309156</v>
      </c>
      <c r="R8" s="227">
        <f t="shared" si="4"/>
        <v>-0.14442350203606746</v>
      </c>
      <c r="S8" s="227">
        <f>SUM(Q$5:Q8)/SUM(N$5:N8)-1</f>
        <v>-0.03170035295087403</v>
      </c>
      <c r="T8" s="226">
        <f>+'.25% Dist'!H63</f>
        <v>3235843</v>
      </c>
      <c r="U8" s="227">
        <f t="shared" si="2"/>
        <v>-0.022154591684405367</v>
      </c>
      <c r="V8" s="228">
        <f>SUM(T$5:T8)/SUM(Q$5:Q8)-1</f>
        <v>0.024464696784805007</v>
      </c>
      <c r="W8" s="92" t="s">
        <v>9</v>
      </c>
      <c r="X8" s="224">
        <f>+'.0625% Dist'!B11+'.225% Dist.'!B36</f>
        <v>7363925</v>
      </c>
      <c r="Y8" s="216"/>
      <c r="Z8" s="216"/>
      <c r="AA8" s="226">
        <f>+'.0625% Dist'!F11+'.225% Dist.'!F36</f>
        <v>7641237</v>
      </c>
      <c r="AB8" s="227">
        <f t="shared" si="5"/>
        <v>0.03765817821338491</v>
      </c>
      <c r="AC8" s="227">
        <f>SUM(AA$5:AA8)/SUM(X$5:X8)-1</f>
        <v>0.010269551799965138</v>
      </c>
      <c r="AD8" s="256">
        <f>+'.0625% Dist'!H11+'.225% Dist.'!H36</f>
        <v>7472094</v>
      </c>
      <c r="AE8" s="227">
        <f t="shared" si="3"/>
        <v>-0.022135552136388403</v>
      </c>
      <c r="AF8" s="229">
        <f>SUM(AD$5:AD8)/SUM(AA$5:AA8)-1</f>
        <v>0.02389970615359549</v>
      </c>
    </row>
    <row r="9" spans="1:32" ht="12.75">
      <c r="A9" s="218">
        <f>+'General Fund'!D41+'.225% Dist.'!B11</f>
        <v>13937563</v>
      </c>
      <c r="B9" s="218"/>
      <c r="E9" s="225" t="s">
        <v>10</v>
      </c>
      <c r="F9" s="260">
        <f>+'General Fund'!F41+'.225% Dist.'!F11</f>
        <v>15920905</v>
      </c>
      <c r="G9" s="227">
        <f t="shared" si="0"/>
        <v>0.1423019217922099</v>
      </c>
      <c r="H9" s="228">
        <f>SUM(F$5:F9)/SUM(A$5:A9)-1</f>
        <v>0.010851725220156538</v>
      </c>
      <c r="I9" s="226">
        <f>+'General Fund'!H41+'.225% Dist.'!H11</f>
        <v>16919046</v>
      </c>
      <c r="J9" s="227">
        <f t="shared" si="1"/>
        <v>0.06269373506091513</v>
      </c>
      <c r="K9" s="228">
        <f>SUM(I$5:I9)/SUM(F$5:F9)-1</f>
        <v>0.030212562680962174</v>
      </c>
      <c r="L9" s="92" t="s">
        <v>10</v>
      </c>
      <c r="M9" s="216"/>
      <c r="N9" s="224">
        <f>+'.25% Dist'!D64</f>
        <v>2660042</v>
      </c>
      <c r="O9" s="224"/>
      <c r="P9" s="224"/>
      <c r="Q9" s="226">
        <f>+'.25% Dist'!F64</f>
        <v>3189226</v>
      </c>
      <c r="R9" s="227">
        <f t="shared" si="4"/>
        <v>0.1989382122537915</v>
      </c>
      <c r="S9" s="227">
        <f>SUM(Q$5:Q9)/SUM(N$5:N9)-1</f>
        <v>0.005891374545811123</v>
      </c>
      <c r="T9" s="226">
        <f>+'.25% Dist'!H64</f>
        <v>3381110</v>
      </c>
      <c r="U9" s="227">
        <f t="shared" si="2"/>
        <v>0.06016632248702347</v>
      </c>
      <c r="V9" s="228">
        <f>SUM(T$5:T9)/SUM(Q$5:Q9)-1</f>
        <v>0.03140045694412974</v>
      </c>
      <c r="W9" s="92" t="s">
        <v>10</v>
      </c>
      <c r="X9" s="224">
        <f>+'.0625% Dist'!B12+'.225% Dist.'!B37</f>
        <v>7162271</v>
      </c>
      <c r="Y9" s="216"/>
      <c r="Z9" s="216"/>
      <c r="AA9" s="226">
        <f>+'.0625% Dist'!F12+'.225% Dist.'!F37</f>
        <v>7362962</v>
      </c>
      <c r="AB9" s="227">
        <f t="shared" si="5"/>
        <v>0.028020581740065387</v>
      </c>
      <c r="AC9" s="227">
        <f>SUM(AA$5:AA9)/SUM(X$5:X9)-1</f>
        <v>0.013668892570401603</v>
      </c>
      <c r="AD9" s="256">
        <f>+'.0625% Dist'!H12+'.225% Dist.'!H37</f>
        <v>7816949</v>
      </c>
      <c r="AE9" s="227">
        <f t="shared" si="3"/>
        <v>0.06165820222894003</v>
      </c>
      <c r="AF9" s="229">
        <f>SUM(AD$5:AD9)/SUM(AA$5:AA9)-1</f>
        <v>0.0312328723041293</v>
      </c>
    </row>
    <row r="10" spans="1:32" ht="12.75">
      <c r="A10" s="218">
        <f>+'General Fund'!D42+'.225% Dist.'!B12</f>
        <v>15233604</v>
      </c>
      <c r="B10" s="218"/>
      <c r="E10" s="225" t="s">
        <v>11</v>
      </c>
      <c r="F10" s="260">
        <f>+'General Fund'!F42+'.225% Dist.'!F12</f>
        <v>15819092</v>
      </c>
      <c r="G10" s="227">
        <f t="shared" si="0"/>
        <v>0.038433977934571484</v>
      </c>
      <c r="H10" s="228">
        <f>SUM(F$5:F10)/SUM(A$5:A10)-1</f>
        <v>0.015208062079916429</v>
      </c>
      <c r="I10" s="226">
        <f>+'General Fund'!H42+'.225% Dist.'!H12</f>
        <v>16099609</v>
      </c>
      <c r="J10" s="227">
        <f t="shared" si="1"/>
        <v>0.017732812983197732</v>
      </c>
      <c r="K10" s="228">
        <f>SUM(I$5:I10)/SUM(F$5:F10)-1</f>
        <v>0.028196419234426617</v>
      </c>
      <c r="L10" s="92" t="s">
        <v>11</v>
      </c>
      <c r="M10" s="216"/>
      <c r="N10" s="224">
        <f>+'.25% Dist'!D65</f>
        <v>3077555</v>
      </c>
      <c r="O10" s="224"/>
      <c r="P10" s="224"/>
      <c r="Q10" s="226">
        <f>+'.25% Dist'!F65</f>
        <v>3163092</v>
      </c>
      <c r="R10" s="227">
        <f t="shared" si="4"/>
        <v>0.027793816844865482</v>
      </c>
      <c r="S10" s="227">
        <f>SUM(Q$5:Q10)/SUM(N$5:N10)-1</f>
        <v>0.00936629333501049</v>
      </c>
      <c r="T10" s="226">
        <f>+'.25% Dist'!H65</f>
        <v>3222201</v>
      </c>
      <c r="U10" s="227">
        <f t="shared" si="2"/>
        <v>0.018687094779411995</v>
      </c>
      <c r="V10" s="228">
        <f>SUM(T$5:T10)/SUM(Q$5:Q10)-1</f>
        <v>0.029346602149662226</v>
      </c>
      <c r="W10" s="92" t="s">
        <v>11</v>
      </c>
      <c r="X10" s="224">
        <f>+'.0625% Dist'!B13+'.225% Dist.'!B38</f>
        <v>6812512</v>
      </c>
      <c r="Y10" s="216"/>
      <c r="Z10" s="216"/>
      <c r="AA10" s="226">
        <f>+'.0625% Dist'!F13+'.225% Dist.'!F38</f>
        <v>7303664</v>
      </c>
      <c r="AB10" s="227">
        <f t="shared" si="5"/>
        <v>0.07209557942797029</v>
      </c>
      <c r="AC10" s="227">
        <f>SUM(AA$5:AA10)/SUM(X$5:X10)-1</f>
        <v>0.022671464117696383</v>
      </c>
      <c r="AD10" s="256">
        <f>+'.0625% Dist'!H13+'.225% Dist.'!H38</f>
        <v>7440101</v>
      </c>
      <c r="AE10" s="227">
        <f t="shared" si="3"/>
        <v>0.018680623862214807</v>
      </c>
      <c r="AF10" s="229">
        <f>SUM(AD$5:AD10)/SUM(AA$5:AA10)-1</f>
        <v>0.0292053099662839</v>
      </c>
    </row>
    <row r="11" spans="1:32" ht="12.75">
      <c r="A11" s="218">
        <f>+'General Fund'!D43+'.225% Dist.'!B13</f>
        <v>18175996</v>
      </c>
      <c r="B11" s="218"/>
      <c r="E11" s="225" t="s">
        <v>12</v>
      </c>
      <c r="F11" s="260">
        <f>+'General Fund'!F43+'.225% Dist.'!F13</f>
        <v>18210862</v>
      </c>
      <c r="G11" s="227">
        <f t="shared" si="0"/>
        <v>0.00191824426017706</v>
      </c>
      <c r="H11" s="228">
        <f>SUM(F$5:F11)/SUM(A$5:A11)-1</f>
        <v>0.013100759998021516</v>
      </c>
      <c r="I11" s="226">
        <f>+'General Fund'!H43+'.225% Dist.'!H13</f>
        <v>18471285</v>
      </c>
      <c r="J11" s="227">
        <f aca="true" t="shared" si="6" ref="J11:J16">+I11/F11-1</f>
        <v>0.014300421363909077</v>
      </c>
      <c r="K11" s="228">
        <f>SUM(I$5:I11)/SUM(F$5:F11)-1</f>
        <v>0.02601731928169282</v>
      </c>
      <c r="L11" s="92" t="s">
        <v>12</v>
      </c>
      <c r="M11" s="216"/>
      <c r="N11" s="224">
        <f>+'.25% Dist'!D66</f>
        <v>3687992</v>
      </c>
      <c r="O11" s="224"/>
      <c r="P11" s="224"/>
      <c r="Q11" s="226">
        <f>+'.25% Dist'!F66</f>
        <v>3654463</v>
      </c>
      <c r="R11" s="227">
        <f t="shared" si="4"/>
        <v>-0.009091397161382075</v>
      </c>
      <c r="S11" s="227">
        <f>SUM(Q$5:Q11)/SUM(N$5:N11)-1</f>
        <v>0.006417654938109862</v>
      </c>
      <c r="T11" s="226">
        <f>+'.25% Dist'!H66</f>
        <v>3706032</v>
      </c>
      <c r="U11" s="227">
        <f aca="true" t="shared" si="7" ref="U11:U16">+T11/Q11-1</f>
        <v>0.014111238778447</v>
      </c>
      <c r="V11" s="228">
        <f>SUM(T$5:T11)/SUM(Q$5:Q11)-1</f>
        <v>0.026950240690326144</v>
      </c>
      <c r="W11" s="92" t="s">
        <v>12</v>
      </c>
      <c r="X11" s="224">
        <f>+'.0625% Dist'!B14+'.225% Dist.'!B39</f>
        <v>8018052</v>
      </c>
      <c r="Y11" s="216"/>
      <c r="Z11" s="216"/>
      <c r="AA11" s="226">
        <f>+'.0625% Dist'!F14+'.225% Dist.'!F39</f>
        <v>8433577</v>
      </c>
      <c r="AB11" s="227">
        <f t="shared" si="5"/>
        <v>0.05182368485512434</v>
      </c>
      <c r="AC11" s="227">
        <f>SUM(AA$5:AA11)/SUM(X$5:X11)-1</f>
        <v>0.027146639579946452</v>
      </c>
      <c r="AD11" s="256">
        <f>+'.0625% Dist'!H14+'.225% Dist.'!H39</f>
        <v>8544389</v>
      </c>
      <c r="AE11" s="227">
        <f aca="true" t="shared" si="8" ref="AE11:AE16">+AD11/AA11-1</f>
        <v>0.013139383205963417</v>
      </c>
      <c r="AF11" s="229">
        <f>SUM(AD$5:AD11)/SUM(AA$5:AA11)-1</f>
        <v>0.026679767338744442</v>
      </c>
    </row>
    <row r="12" spans="1:32" ht="12.75">
      <c r="A12" s="218">
        <f>+'General Fund'!D44+'.225% Dist.'!B14</f>
        <v>15084711</v>
      </c>
      <c r="B12" s="218"/>
      <c r="E12" s="225" t="s">
        <v>13</v>
      </c>
      <c r="F12" s="260">
        <f>+'General Fund'!F44+'.225% Dist.'!F14</f>
        <v>15585361</v>
      </c>
      <c r="G12" s="227">
        <f t="shared" si="0"/>
        <v>0.0331892337877735</v>
      </c>
      <c r="H12" s="228">
        <f>SUM(F$5:F12)/SUM(A$5:A12)-1</f>
        <v>0.015436914895595955</v>
      </c>
      <c r="I12" s="226">
        <f>+'General Fund'!H44+'.225% Dist.'!H14</f>
        <v>16046670</v>
      </c>
      <c r="J12" s="227">
        <f t="shared" si="6"/>
        <v>0.029598865242839167</v>
      </c>
      <c r="K12" s="228">
        <f>SUM(I$5:I12)/SUM(F$5:F12)-1</f>
        <v>0.026441110687739133</v>
      </c>
      <c r="L12" s="92" t="s">
        <v>13</v>
      </c>
      <c r="M12" s="216"/>
      <c r="N12" s="224">
        <f>+'.25% Dist'!D67</f>
        <v>3021818</v>
      </c>
      <c r="O12" s="224"/>
      <c r="P12" s="224"/>
      <c r="Q12" s="226">
        <f>+'.25% Dist'!F67</f>
        <v>3122406</v>
      </c>
      <c r="R12" s="227">
        <f t="shared" si="4"/>
        <v>0.03328724628683788</v>
      </c>
      <c r="S12" s="227">
        <f>SUM(Q$5:Q12)/SUM(N$5:N12)-1</f>
        <v>0.00952766170394792</v>
      </c>
      <c r="T12" s="226">
        <f>+'.25% Dist'!H67</f>
        <v>3211117</v>
      </c>
      <c r="U12" s="227">
        <f t="shared" si="7"/>
        <v>0.02841110348878395</v>
      </c>
      <c r="V12" s="228">
        <f>SUM(T$5:T12)/SUM(Q$5:Q12)-1</f>
        <v>0.027123307005771924</v>
      </c>
      <c r="W12" s="92" t="s">
        <v>13</v>
      </c>
      <c r="X12" s="224">
        <f>+'.0625% Dist'!B15+'.225% Dist.'!B40</f>
        <v>7032415</v>
      </c>
      <c r="Y12" s="216"/>
      <c r="Z12" s="216"/>
      <c r="AA12" s="226">
        <f>+'.0625% Dist'!F15+'.225% Dist.'!F40</f>
        <v>7208016</v>
      </c>
      <c r="AB12" s="227">
        <f t="shared" si="5"/>
        <v>0.02497022715525188</v>
      </c>
      <c r="AC12" s="227">
        <f>SUM(AA$5:AA12)/SUM(X$5:X12)-1</f>
        <v>0.026888379571780918</v>
      </c>
      <c r="AD12" s="256">
        <f>+'.0625% Dist'!H15+'.225% Dist.'!H40</f>
        <v>7415112</v>
      </c>
      <c r="AE12" s="227">
        <f t="shared" si="8"/>
        <v>0.02873134576837777</v>
      </c>
      <c r="AF12" s="229">
        <f>SUM(AD$5:AD12)/SUM(AA$5:AA12)-1</f>
        <v>0.02692275940788047</v>
      </c>
    </row>
    <row r="13" spans="1:32" ht="12.75">
      <c r="A13" s="218">
        <f>+'General Fund'!D45+'.225% Dist.'!B15</f>
        <v>14808318</v>
      </c>
      <c r="B13" s="218"/>
      <c r="E13" s="225" t="s">
        <v>14</v>
      </c>
      <c r="F13" s="260">
        <f>+'General Fund'!F45+'.225% Dist.'!F15</f>
        <v>14752348</v>
      </c>
      <c r="G13" s="227">
        <f t="shared" si="0"/>
        <v>-0.0037796325011388854</v>
      </c>
      <c r="H13" s="228">
        <f>SUM(F$5:F13)/SUM(A$5:A13)-1</f>
        <v>0.01346789430036921</v>
      </c>
      <c r="I13" s="226">
        <f>+'General Fund'!H45+'.225% Dist.'!H15</f>
        <v>15598771</v>
      </c>
      <c r="J13" s="227">
        <f t="shared" si="6"/>
        <v>0.05737547677156196</v>
      </c>
      <c r="K13" s="228">
        <f>SUM(I$5:I13)/SUM(F$5:F13)-1</f>
        <v>0.02955685305213951</v>
      </c>
      <c r="L13" s="92" t="s">
        <v>14</v>
      </c>
      <c r="M13" s="216"/>
      <c r="N13" s="224">
        <f>+'.25% Dist'!D68</f>
        <v>2941263</v>
      </c>
      <c r="O13" s="224"/>
      <c r="P13" s="224"/>
      <c r="Q13" s="226">
        <f>+'.25% Dist'!F68</f>
        <v>2951636</v>
      </c>
      <c r="R13" s="227">
        <f t="shared" si="4"/>
        <v>0.0035267162440080213</v>
      </c>
      <c r="S13" s="227">
        <f>SUM(Q$5:Q13)/SUM(N$5:N13)-1</f>
        <v>0.00892005377960925</v>
      </c>
      <c r="T13" s="226">
        <f>+'.25% Dist'!H68</f>
        <v>3122093</v>
      </c>
      <c r="U13" s="227">
        <f t="shared" si="7"/>
        <v>0.057750007114698354</v>
      </c>
      <c r="V13" s="228">
        <f>SUM(T$5:T13)/SUM(Q$5:Q13)-1</f>
        <v>0.03020774568185125</v>
      </c>
      <c r="W13" s="92" t="s">
        <v>14</v>
      </c>
      <c r="X13" s="224">
        <f>+'.0625% Dist'!B16+'.225% Dist.'!B41</f>
        <v>7179974</v>
      </c>
      <c r="Y13" s="216"/>
      <c r="Z13" s="216"/>
      <c r="AA13" s="226">
        <f>+'.0625% Dist'!F16+'.225% Dist.'!F41</f>
        <v>6815335</v>
      </c>
      <c r="AB13" s="227">
        <f t="shared" si="5"/>
        <v>-0.05078555994771017</v>
      </c>
      <c r="AC13" s="227">
        <f>SUM(AA$5:AA13)/SUM(X$5:X13)-1</f>
        <v>0.01849484710666527</v>
      </c>
      <c r="AD13" s="256">
        <f>+'.0625% Dist'!H16+'.225% Dist.'!H41</f>
        <v>7209265</v>
      </c>
      <c r="AE13" s="227">
        <f t="shared" si="8"/>
        <v>0.05780053364948312</v>
      </c>
      <c r="AF13" s="229">
        <f>SUM(AD$5:AD13)/SUM(AA$5:AA13)-1</f>
        <v>0.0300324768520841</v>
      </c>
    </row>
    <row r="14" spans="1:32" ht="12.75">
      <c r="A14" s="218">
        <f>+'General Fund'!D46+'.225% Dist.'!B16</f>
        <v>16609184</v>
      </c>
      <c r="B14" s="218"/>
      <c r="E14" s="225" t="s">
        <v>15</v>
      </c>
      <c r="F14" s="260">
        <f>+'General Fund'!F46+'.225% Dist.'!F16</f>
        <v>17713481</v>
      </c>
      <c r="G14" s="227">
        <f t="shared" si="0"/>
        <v>0.06648713145690954</v>
      </c>
      <c r="H14" s="228">
        <f>SUM(F$5:F14)/SUM(A$5:A14)-1</f>
        <v>0.018933080696142524</v>
      </c>
      <c r="I14" s="226">
        <f>+'General Fund'!H46+'.225% Dist.'!H16</f>
        <v>17606201</v>
      </c>
      <c r="J14" s="227">
        <f t="shared" si="6"/>
        <v>-0.006056404159069606</v>
      </c>
      <c r="K14" s="228">
        <f>SUM(I$5:I14)/SUM(F$5:F14)-1</f>
        <v>0.0257145363612572</v>
      </c>
      <c r="L14" s="92" t="s">
        <v>15</v>
      </c>
      <c r="M14" s="216"/>
      <c r="N14" s="224">
        <f>+'.25% Dist'!D69</f>
        <v>3328952</v>
      </c>
      <c r="O14" s="224"/>
      <c r="P14" s="224"/>
      <c r="Q14" s="226">
        <f>+'.25% Dist'!F69</f>
        <v>3544483</v>
      </c>
      <c r="R14" s="227">
        <f t="shared" si="4"/>
        <v>0.06474440003941173</v>
      </c>
      <c r="S14" s="227">
        <f>SUM(Q$5:Q14)/SUM(N$5:N14)-1</f>
        <v>0.014659668885053545</v>
      </c>
      <c r="T14" s="226">
        <f>+'.25% Dist'!H69</f>
        <v>3516286</v>
      </c>
      <c r="U14" s="227">
        <f t="shared" si="7"/>
        <v>-0.007955179923277989</v>
      </c>
      <c r="V14" s="228">
        <f>SUM(T$5:T14)/SUM(Q$5:Q14)-1</f>
        <v>0.026090320169871895</v>
      </c>
      <c r="W14" s="92" t="s">
        <v>15</v>
      </c>
      <c r="X14" s="224">
        <f>+'.0625% Dist'!B17+'.225% Dist.'!B42</f>
        <v>7682763</v>
      </c>
      <c r="Y14" s="216"/>
      <c r="Z14" s="216"/>
      <c r="AA14" s="226">
        <f>+'.0625% Dist'!F17+'.225% Dist.'!F42</f>
        <v>8185531</v>
      </c>
      <c r="AB14" s="227">
        <f t="shared" si="5"/>
        <v>0.06544103989671424</v>
      </c>
      <c r="AC14" s="227">
        <f>SUM(AA$5:AA14)/SUM(X$5:X14)-1</f>
        <v>0.023360542036269027</v>
      </c>
      <c r="AD14" s="256">
        <f>+'.0625% Dist'!H17+'.225% Dist.'!H42</f>
        <v>8121107</v>
      </c>
      <c r="AE14" s="227">
        <f t="shared" si="8"/>
        <v>-0.007870472911286952</v>
      </c>
      <c r="AF14" s="229">
        <f>SUM(AD$5:AD14)/SUM(AA$5:AA14)-1</f>
        <v>0.0259425243769158</v>
      </c>
    </row>
    <row r="15" spans="1:32" ht="12.75">
      <c r="A15" s="218">
        <f>+'General Fund'!D47+'.225% Dist.'!B17</f>
        <v>15287318</v>
      </c>
      <c r="B15" s="218"/>
      <c r="E15" s="225" t="s">
        <v>16</v>
      </c>
      <c r="F15" s="260">
        <f>+'General Fund'!F47+'.225% Dist.'!F17</f>
        <v>16200407</v>
      </c>
      <c r="G15" s="227">
        <f t="shared" si="0"/>
        <v>0.059728527920986485</v>
      </c>
      <c r="H15" s="228">
        <f>SUM(F$5:F15)/SUM(A$5:A15)-1</f>
        <v>0.022468178475825606</v>
      </c>
      <c r="I15" s="226">
        <f>+'General Fund'!H47+'.225% Dist.'!H17</f>
        <v>17055662</v>
      </c>
      <c r="J15" s="227">
        <f t="shared" si="6"/>
        <v>0.05279219219615894</v>
      </c>
      <c r="K15" s="228">
        <f>SUM(I$5:I15)/SUM(F$5:F15)-1</f>
        <v>0.02814643584887211</v>
      </c>
      <c r="L15" s="92" t="s">
        <v>16</v>
      </c>
      <c r="M15" s="216"/>
      <c r="N15" s="224">
        <f>+'.25% Dist'!D70</f>
        <v>3097282</v>
      </c>
      <c r="O15" s="224"/>
      <c r="P15" s="224"/>
      <c r="Q15" s="226">
        <f>+'.25% Dist'!F70</f>
        <v>3254501</v>
      </c>
      <c r="R15" s="227">
        <f t="shared" si="4"/>
        <v>0.050760311783040635</v>
      </c>
      <c r="S15" s="227">
        <f>SUM(Q$5:Q15)/SUM(N$5:N15)-1</f>
        <v>0.01781156066320433</v>
      </c>
      <c r="T15" s="226">
        <f>+'.25% Dist'!H70</f>
        <v>3400316</v>
      </c>
      <c r="U15" s="227">
        <f t="shared" si="7"/>
        <v>0.04480410360912468</v>
      </c>
      <c r="V15" s="228">
        <f>SUM(T$5:T15)/SUM(Q$5:Q15)-1</f>
        <v>0.02777708385319988</v>
      </c>
      <c r="W15" s="92" t="s">
        <v>16</v>
      </c>
      <c r="X15" s="224">
        <f>+'.0625% Dist'!B18+'.225% Dist.'!B43</f>
        <v>6934056</v>
      </c>
      <c r="Y15" s="216"/>
      <c r="Z15" s="216"/>
      <c r="AA15" s="226">
        <f>+'.0625% Dist'!F18+'.225% Dist.'!F43</f>
        <v>7506617</v>
      </c>
      <c r="AB15" s="227">
        <f t="shared" si="5"/>
        <v>0.08257230688647454</v>
      </c>
      <c r="AC15" s="227">
        <f>SUM(AA$5:AA15)/SUM(X$5:X15)-1</f>
        <v>0.02842562170970142</v>
      </c>
      <c r="AD15" s="256">
        <f>+'.0625% Dist'!H18+'.225% Dist.'!H43</f>
        <v>7858717</v>
      </c>
      <c r="AE15" s="227">
        <f t="shared" si="8"/>
        <v>0.046905283698368994</v>
      </c>
      <c r="AF15" s="229">
        <f>SUM(AD$5:AD15)/SUM(AA$5:AA15)-1</f>
        <v>0.02783012776817695</v>
      </c>
    </row>
    <row r="16" spans="1:32" ht="12.75">
      <c r="A16" s="218">
        <f>+'General Fund'!D48+'.225% Dist.'!B18</f>
        <v>16043169</v>
      </c>
      <c r="B16" s="218"/>
      <c r="E16" s="230" t="s">
        <v>17</v>
      </c>
      <c r="F16" s="266">
        <f>+'General Fund'!F48+'.225% Dist.'!F18</f>
        <v>20478430.43</v>
      </c>
      <c r="G16" s="232">
        <f t="shared" si="0"/>
        <v>0.2764579385780952</v>
      </c>
      <c r="H16" s="233">
        <f>SUM(F$5:F16)/SUM(A$5:A16)-1</f>
        <v>0.04364030414947728</v>
      </c>
      <c r="I16" s="231">
        <f>+'General Fund'!H48+'.225% Dist.'!H18</f>
        <v>17011073.77</v>
      </c>
      <c r="J16" s="232">
        <f t="shared" si="6"/>
        <v>-0.16931750076512087</v>
      </c>
      <c r="K16" s="233">
        <f>SUM(I$5:I16)/SUM(F$5:F16)-1</f>
        <v>0.00801421378693834</v>
      </c>
      <c r="L16" s="269" t="s">
        <v>17</v>
      </c>
      <c r="M16" s="236"/>
      <c r="N16" s="237">
        <f>+'.25% Dist'!D71</f>
        <v>3245042</v>
      </c>
      <c r="O16" s="237"/>
      <c r="P16" s="237"/>
      <c r="Q16" s="231">
        <f>+'.25% Dist'!F71</f>
        <v>4176005</v>
      </c>
      <c r="R16" s="232">
        <f t="shared" si="4"/>
        <v>0.2868878122378693</v>
      </c>
      <c r="S16" s="232">
        <f>SUM(Q$5:Q16)/SUM(N$5:N16)-1</f>
        <v>0.040362158215901944</v>
      </c>
      <c r="T16" s="231">
        <f>+'.25% Dist'!H71</f>
        <v>3389969.2004370373</v>
      </c>
      <c r="U16" s="232">
        <f t="shared" si="7"/>
        <v>-0.188226738129615</v>
      </c>
      <c r="V16" s="233">
        <f>SUM(T$5:T16)/SUM(Q$5:Q16)-1</f>
        <v>0.0053847035218930195</v>
      </c>
      <c r="W16" s="269" t="s">
        <v>17</v>
      </c>
      <c r="X16" s="237">
        <f>+'.0625% Dist'!B19+'.225% Dist.'!B44</f>
        <v>7121904</v>
      </c>
      <c r="Y16" s="236"/>
      <c r="Z16" s="236"/>
      <c r="AA16" s="231">
        <f>+'.0625% Dist'!F19+'.225% Dist.'!F44</f>
        <v>9600754</v>
      </c>
      <c r="AB16" s="232">
        <f t="shared" si="5"/>
        <v>0.3480600131650189</v>
      </c>
      <c r="AC16" s="232">
        <f>SUM(AA$5:AA16)/SUM(X$5:X16)-1</f>
        <v>0.05424036880843475</v>
      </c>
      <c r="AD16" s="257">
        <f>+'.0625% Dist'!H19+'.225% Dist.'!H44</f>
        <v>7835712.429074074</v>
      </c>
      <c r="AE16" s="232">
        <f t="shared" si="8"/>
        <v>-0.18384405755276367</v>
      </c>
      <c r="AF16" s="234">
        <f>SUM(AD$5:AD16)/SUM(AA$5:AA16)-1</f>
        <v>0.005970042352785976</v>
      </c>
    </row>
    <row r="17" spans="5:32" ht="3.75" customHeight="1">
      <c r="E17" s="215"/>
      <c r="F17" s="146"/>
      <c r="G17" s="216"/>
      <c r="H17" s="147"/>
      <c r="I17" s="226"/>
      <c r="J17" s="216"/>
      <c r="K17" s="147"/>
      <c r="L17" s="217"/>
      <c r="M17" s="216"/>
      <c r="N17" s="216"/>
      <c r="O17" s="216"/>
      <c r="P17" s="216"/>
      <c r="Q17" s="146"/>
      <c r="R17" s="216"/>
      <c r="S17" s="216"/>
      <c r="T17" s="226"/>
      <c r="U17" s="216"/>
      <c r="V17" s="147"/>
      <c r="W17" s="147"/>
      <c r="X17" s="216"/>
      <c r="Y17" s="216"/>
      <c r="Z17" s="216"/>
      <c r="AA17" s="146"/>
      <c r="AB17" s="216"/>
      <c r="AC17" s="147"/>
      <c r="AD17" s="224"/>
      <c r="AE17" s="216"/>
      <c r="AF17" s="235"/>
    </row>
    <row r="18" spans="1:32" ht="13.5" thickBot="1">
      <c r="A18" s="218">
        <f>SUM(A5:A16)</f>
        <v>192460630</v>
      </c>
      <c r="E18" s="285" t="s">
        <v>202</v>
      </c>
      <c r="F18" s="242">
        <f>SUM(F5:F16)</f>
        <v>200859670.43</v>
      </c>
      <c r="G18" s="243">
        <f t="shared" si="0"/>
        <v>0.04364030414947728</v>
      </c>
      <c r="H18" s="292"/>
      <c r="I18" s="242">
        <f>SUM(I5:I16)</f>
        <v>202469402.77</v>
      </c>
      <c r="J18" s="243"/>
      <c r="K18" s="247"/>
      <c r="L18" s="288" t="s">
        <v>202</v>
      </c>
      <c r="M18" s="244"/>
      <c r="N18" s="245">
        <f>SUM(N5:N16)</f>
        <v>38720204</v>
      </c>
      <c r="O18" s="244"/>
      <c r="P18" s="244"/>
      <c r="Q18" s="242">
        <f>SUM(Q5:Q16)</f>
        <v>40283035</v>
      </c>
      <c r="R18" s="243">
        <f t="shared" si="4"/>
        <v>0.040362158215901944</v>
      </c>
      <c r="S18" s="243"/>
      <c r="T18" s="242">
        <f>SUM(T5:T16)</f>
        <v>40499947.20043704</v>
      </c>
      <c r="U18" s="243"/>
      <c r="V18" s="247"/>
      <c r="W18" s="292" t="s">
        <v>202</v>
      </c>
      <c r="X18" s="245">
        <f>SUM(X5:X16)</f>
        <v>88182365</v>
      </c>
      <c r="Y18" s="244"/>
      <c r="Z18" s="244"/>
      <c r="AA18" s="242">
        <f>SUM(AA5:AA16)</f>
        <v>92965409</v>
      </c>
      <c r="AB18" s="243">
        <f t="shared" si="5"/>
        <v>0.05424036880843475</v>
      </c>
      <c r="AC18" s="247"/>
      <c r="AD18" s="245">
        <f>SUM(AD5:AD16)</f>
        <v>93520416.42907408</v>
      </c>
      <c r="AE18" s="243"/>
      <c r="AF18" s="249"/>
    </row>
    <row r="19" spans="5:32" ht="12.75">
      <c r="E19" s="215"/>
      <c r="F19" s="216"/>
      <c r="G19" s="216"/>
      <c r="H19" s="224"/>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35"/>
    </row>
    <row r="20" spans="5:32" ht="12.75">
      <c r="E20" s="215"/>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35"/>
    </row>
    <row r="21" spans="5:32" ht="13.5" thickBot="1">
      <c r="E21" s="215"/>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35"/>
    </row>
    <row r="22" spans="5:32" ht="12.75">
      <c r="E22" s="286"/>
      <c r="F22" s="332" t="s">
        <v>203</v>
      </c>
      <c r="G22" s="333"/>
      <c r="H22" s="333"/>
      <c r="I22" s="333"/>
      <c r="J22" s="333"/>
      <c r="K22" s="334"/>
      <c r="L22" s="275"/>
      <c r="M22" s="275"/>
      <c r="N22" s="275"/>
      <c r="O22" s="275"/>
      <c r="P22" s="275"/>
      <c r="Q22" s="332" t="s">
        <v>204</v>
      </c>
      <c r="R22" s="333"/>
      <c r="S22" s="333"/>
      <c r="T22" s="333"/>
      <c r="U22" s="333"/>
      <c r="V22" s="334"/>
      <c r="W22" s="275"/>
      <c r="X22" s="275"/>
      <c r="Y22" s="275"/>
      <c r="Z22" s="275"/>
      <c r="AA22" s="335" t="s">
        <v>263</v>
      </c>
      <c r="AB22" s="336"/>
      <c r="AC22" s="336"/>
      <c r="AD22" s="336"/>
      <c r="AE22" s="336"/>
      <c r="AF22" s="337"/>
    </row>
    <row r="23" spans="5:32" ht="25.5">
      <c r="E23" s="252" t="s">
        <v>29</v>
      </c>
      <c r="F23" s="212" t="s">
        <v>231</v>
      </c>
      <c r="G23" s="151" t="s">
        <v>200</v>
      </c>
      <c r="H23" s="255" t="s">
        <v>201</v>
      </c>
      <c r="I23" s="262" t="s">
        <v>242</v>
      </c>
      <c r="J23" s="262" t="s">
        <v>200</v>
      </c>
      <c r="K23" s="263" t="s">
        <v>201</v>
      </c>
      <c r="L23" s="269" t="s">
        <v>29</v>
      </c>
      <c r="M23" s="152"/>
      <c r="N23" s="152"/>
      <c r="O23" s="152"/>
      <c r="P23" s="152"/>
      <c r="Q23" s="212" t="s">
        <v>231</v>
      </c>
      <c r="R23" s="151" t="s">
        <v>200</v>
      </c>
      <c r="S23" s="282" t="s">
        <v>201</v>
      </c>
      <c r="T23" s="261" t="s">
        <v>242</v>
      </c>
      <c r="U23" s="262" t="s">
        <v>200</v>
      </c>
      <c r="V23" s="263" t="s">
        <v>201</v>
      </c>
      <c r="W23" s="239" t="s">
        <v>29</v>
      </c>
      <c r="X23" s="152"/>
      <c r="Y23" s="152"/>
      <c r="Z23" s="152"/>
      <c r="AA23" s="91" t="s">
        <v>231</v>
      </c>
      <c r="AB23" s="262" t="s">
        <v>200</v>
      </c>
      <c r="AC23" s="263" t="s">
        <v>201</v>
      </c>
      <c r="AD23" s="262" t="s">
        <v>242</v>
      </c>
      <c r="AE23" s="262" t="s">
        <v>200</v>
      </c>
      <c r="AF23" s="284" t="s">
        <v>201</v>
      </c>
    </row>
    <row r="24" spans="1:36" ht="12.75">
      <c r="A24" s="240">
        <f>+'Local &amp; State'!D8+'Local &amp; State'!D30</f>
        <v>183117</v>
      </c>
      <c r="B24" s="240"/>
      <c r="E24" s="225" t="s">
        <v>6</v>
      </c>
      <c r="F24" s="220">
        <f>+'Local &amp; State'!F8+'Local &amp; State'!F30</f>
        <v>263001.95</v>
      </c>
      <c r="G24" s="221">
        <f aca="true" t="shared" si="9" ref="G24:G37">+F24/A24-1</f>
        <v>0.4362508669320708</v>
      </c>
      <c r="H24" s="223">
        <f>SUM(F$24:F24)/SUM(A$24:A24)-1</f>
        <v>0.4362508669320708</v>
      </c>
      <c r="I24" s="308">
        <f>+'Local &amp; State'!H8+'Local &amp; State'!H30</f>
        <v>256095</v>
      </c>
      <c r="J24" s="227">
        <f aca="true" t="shared" si="10" ref="J24:J29">+I24/F24-1</f>
        <v>-0.02626197258233265</v>
      </c>
      <c r="K24" s="228">
        <f>SUM(I$24:I24)/SUM(F$24:F24)-1</f>
        <v>-0.02626197258233265</v>
      </c>
      <c r="L24" s="152" t="s">
        <v>6</v>
      </c>
      <c r="M24" s="216"/>
      <c r="N24" s="241">
        <f>+'.0625% Dist'!D37</f>
        <v>122009</v>
      </c>
      <c r="O24" s="216"/>
      <c r="P24" s="216"/>
      <c r="Q24" s="220">
        <f>+'.0625% Dist'!F37</f>
        <v>130928</v>
      </c>
      <c r="R24" s="221">
        <f>+Q24/N24-1</f>
        <v>0.07310116466818029</v>
      </c>
      <c r="S24" s="221">
        <f>SUM(Q$24:Q24)/SUM(N$24:N24)-1</f>
        <v>0.07310116466818029</v>
      </c>
      <c r="T24" s="226">
        <f>+'.0625% Dist'!H37</f>
        <v>109565</v>
      </c>
      <c r="U24" s="227">
        <f aca="true" t="shared" si="11" ref="U24:U29">+T24/Q24-1</f>
        <v>-0.16316601490895755</v>
      </c>
      <c r="V24" s="228">
        <f>SUM(T$24:T24)/SUM(Q$24:Q24)-1</f>
        <v>-0.16316601490895755</v>
      </c>
      <c r="W24" s="152" t="s">
        <v>6</v>
      </c>
      <c r="X24" s="224"/>
      <c r="Y24" s="216"/>
      <c r="Z24" s="216"/>
      <c r="AA24" s="220"/>
      <c r="AB24" s="227"/>
      <c r="AC24" s="228"/>
      <c r="AD24" s="308">
        <f>+'.375%'!H7</f>
        <v>143448</v>
      </c>
      <c r="AE24" s="227" t="s">
        <v>221</v>
      </c>
      <c r="AF24" s="229" t="s">
        <v>221</v>
      </c>
      <c r="AH24" s="218">
        <v>26201633</v>
      </c>
      <c r="AI24" s="218">
        <v>26187249</v>
      </c>
      <c r="AJ24" s="218">
        <f>+AI24-AA24</f>
        <v>26187249</v>
      </c>
    </row>
    <row r="25" spans="1:36" ht="12.75">
      <c r="A25" s="240">
        <f>+'Local &amp; State'!D9+'Local &amp; State'!D31</f>
        <v>134982</v>
      </c>
      <c r="B25" s="240"/>
      <c r="E25" s="225" t="s">
        <v>7</v>
      </c>
      <c r="F25" s="226">
        <f>+'Local &amp; State'!F9+'Local &amp; State'!F31</f>
        <v>191858.63</v>
      </c>
      <c r="G25" s="227">
        <f t="shared" si="9"/>
        <v>0.4213645523106786</v>
      </c>
      <c r="H25" s="228">
        <f>SUM(F$24:F25)/SUM(A$24:A25)-1</f>
        <v>0.42993401425342426</v>
      </c>
      <c r="I25" s="308">
        <f>+'Local &amp; State'!H9+'Local &amp; State'!H31</f>
        <v>179213</v>
      </c>
      <c r="J25" s="227">
        <f t="shared" si="10"/>
        <v>-0.06591118679415153</v>
      </c>
      <c r="K25" s="228">
        <f>SUM(I$24:I25)/SUM(F$24:F25)-1</f>
        <v>-0.04298587492457584</v>
      </c>
      <c r="L25" s="152" t="s">
        <v>7</v>
      </c>
      <c r="M25" s="216"/>
      <c r="N25" s="241">
        <f>+'.0625% Dist'!D38</f>
        <v>112039</v>
      </c>
      <c r="O25" s="216"/>
      <c r="P25" s="216"/>
      <c r="Q25" s="226">
        <f>+'.0625% Dist'!F38</f>
        <v>119085</v>
      </c>
      <c r="R25" s="227">
        <f>+Q25/N25-1</f>
        <v>0.06288881550174485</v>
      </c>
      <c r="S25" s="227">
        <f>SUM(Q$24:Q25)/SUM(N$24:N25)-1</f>
        <v>0.06821250341810225</v>
      </c>
      <c r="T25" s="226">
        <f>+'.0625% Dist'!H38</f>
        <v>103054</v>
      </c>
      <c r="U25" s="227">
        <f t="shared" si="11"/>
        <v>-0.13461812990720912</v>
      </c>
      <c r="V25" s="228">
        <f>SUM(T$24:T25)/SUM(Q$24:Q25)-1</f>
        <v>-0.1495682224524325</v>
      </c>
      <c r="W25" s="152" t="s">
        <v>7</v>
      </c>
      <c r="X25" s="224"/>
      <c r="Y25" s="216"/>
      <c r="Z25" s="216"/>
      <c r="AA25" s="226"/>
      <c r="AB25" s="227"/>
      <c r="AC25" s="228"/>
      <c r="AD25" s="308">
        <f>+'.375%'!H8</f>
        <v>4362764</v>
      </c>
      <c r="AE25" s="227" t="s">
        <v>221</v>
      </c>
      <c r="AF25" s="229" t="s">
        <v>221</v>
      </c>
      <c r="AH25" s="218">
        <v>24487532</v>
      </c>
      <c r="AI25" s="218">
        <v>24938859</v>
      </c>
      <c r="AJ25" s="218">
        <f>+AI25-AA25</f>
        <v>24938859</v>
      </c>
    </row>
    <row r="26" spans="1:36" ht="12.75">
      <c r="A26" s="240">
        <f>+'Local &amp; State'!D10+'Local &amp; State'!D32</f>
        <v>139388</v>
      </c>
      <c r="B26" s="240"/>
      <c r="E26" s="225" t="s">
        <v>8</v>
      </c>
      <c r="F26" s="226">
        <f>+'Local &amp; State'!F10+'Local &amp; State'!F32</f>
        <v>189271.39</v>
      </c>
      <c r="G26" s="227">
        <f t="shared" si="9"/>
        <v>0.35787435073320517</v>
      </c>
      <c r="H26" s="228">
        <f>SUM(F$24:F26)/SUM(A$24:A26)-1</f>
        <v>0.4079787403795081</v>
      </c>
      <c r="I26" s="308">
        <f>+'Local &amp; State'!H10+'Local &amp; State'!H32</f>
        <v>180132</v>
      </c>
      <c r="J26" s="227">
        <f t="shared" si="10"/>
        <v>-0.0482872239697717</v>
      </c>
      <c r="K26" s="228">
        <f>SUM(I$24:I26)/SUM(F$24:F26)-1</f>
        <v>-0.044543620463365574</v>
      </c>
      <c r="L26" s="152" t="s">
        <v>8</v>
      </c>
      <c r="M26" s="216"/>
      <c r="N26" s="241">
        <f>+'.0625% Dist'!D39</f>
        <v>114010</v>
      </c>
      <c r="O26" s="216"/>
      <c r="P26" s="216"/>
      <c r="Q26" s="226">
        <f>+'.0625% Dist'!F39</f>
        <v>112539</v>
      </c>
      <c r="R26" s="227">
        <f aca="true" t="shared" si="12" ref="R26:R37">+Q26/N26-1</f>
        <v>-0.01290237698447505</v>
      </c>
      <c r="S26" s="227">
        <f>SUM(Q$24:Q26)/SUM(N$24:N26)-1</f>
        <v>0.04164248487321087</v>
      </c>
      <c r="T26" s="226">
        <f>+'.0625% Dist'!H39</f>
        <v>107429</v>
      </c>
      <c r="U26" s="227">
        <f t="shared" si="11"/>
        <v>-0.04540648130870184</v>
      </c>
      <c r="V26" s="228">
        <f>SUM(T$24:T26)/SUM(Q$24:Q26)-1</f>
        <v>-0.1172355965489088</v>
      </c>
      <c r="W26" s="152" t="s">
        <v>8</v>
      </c>
      <c r="X26" s="224"/>
      <c r="Y26" s="216"/>
      <c r="Z26" s="216"/>
      <c r="AA26" s="226"/>
      <c r="AB26" s="227"/>
      <c r="AC26" s="228"/>
      <c r="AD26" s="308">
        <f>+'.375%'!H9</f>
        <v>4570310</v>
      </c>
      <c r="AE26" s="227" t="s">
        <v>221</v>
      </c>
      <c r="AF26" s="229" t="s">
        <v>221</v>
      </c>
      <c r="AH26" s="218">
        <v>24427176</v>
      </c>
      <c r="AI26" s="218">
        <v>24726108</v>
      </c>
      <c r="AJ26" s="218">
        <f aca="true" t="shared" si="13" ref="AJ26:AJ35">+AI26-AA26</f>
        <v>24726108</v>
      </c>
    </row>
    <row r="27" spans="1:36" ht="12.75">
      <c r="A27" s="240">
        <f>+'Local &amp; State'!D11+'Local &amp; State'!D33</f>
        <v>165655</v>
      </c>
      <c r="B27" s="240"/>
      <c r="E27" s="225" t="s">
        <v>9</v>
      </c>
      <c r="F27" s="226">
        <f>+'Local &amp; State'!F11+'Local &amp; State'!F33</f>
        <v>226550.33000000002</v>
      </c>
      <c r="G27" s="227">
        <f t="shared" si="9"/>
        <v>0.3676033322266157</v>
      </c>
      <c r="H27" s="228">
        <f>SUM(F$24:F27)/SUM(A$24:A27)-1</f>
        <v>0.3972454111582915</v>
      </c>
      <c r="I27" s="308">
        <f>+'Local &amp; State'!H11+'Local &amp; State'!H33</f>
        <v>255597</v>
      </c>
      <c r="J27" s="227">
        <f t="shared" si="10"/>
        <v>0.1282128787894503</v>
      </c>
      <c r="K27" s="228">
        <f>SUM(I$24:I27)/SUM(F$24:F27)-1</f>
        <v>0.0004073816591882995</v>
      </c>
      <c r="L27" s="152" t="s">
        <v>9</v>
      </c>
      <c r="M27" s="216"/>
      <c r="N27" s="241">
        <f>+'.0625% Dist'!D40</f>
        <v>123512</v>
      </c>
      <c r="O27" s="216"/>
      <c r="P27" s="216"/>
      <c r="Q27" s="226">
        <f>+'.0625% Dist'!F40</f>
        <v>120187</v>
      </c>
      <c r="R27" s="227">
        <f t="shared" si="12"/>
        <v>-0.026920461169764875</v>
      </c>
      <c r="S27" s="227">
        <f>SUM(Q$24:Q27)/SUM(N$24:N27)-1</f>
        <v>0.02368471276798778</v>
      </c>
      <c r="T27" s="226">
        <f>+'.0625% Dist'!H40</f>
        <v>102344</v>
      </c>
      <c r="U27" s="227">
        <f t="shared" si="11"/>
        <v>-0.14846031600755494</v>
      </c>
      <c r="V27" s="228">
        <f>SUM(T$24:T27)/SUM(Q$24:Q27)-1</f>
        <v>-0.1250095807465318</v>
      </c>
      <c r="W27" s="152" t="s">
        <v>9</v>
      </c>
      <c r="X27" s="224"/>
      <c r="Y27" s="216"/>
      <c r="Z27" s="216"/>
      <c r="AA27" s="226"/>
      <c r="AB27" s="227"/>
      <c r="AC27" s="228"/>
      <c r="AD27" s="308">
        <f>+'.375%'!H10</f>
        <v>4343550</v>
      </c>
      <c r="AE27" s="227" t="s">
        <v>221</v>
      </c>
      <c r="AF27" s="229" t="s">
        <v>221</v>
      </c>
      <c r="AH27" s="218">
        <v>24020606</v>
      </c>
      <c r="AI27" s="218">
        <v>24547489</v>
      </c>
      <c r="AJ27" s="218">
        <f t="shared" si="13"/>
        <v>24547489</v>
      </c>
    </row>
    <row r="28" spans="1:36" ht="12.75">
      <c r="A28" s="240">
        <f>+'Local &amp; State'!D12+'Local &amp; State'!D34</f>
        <v>190695</v>
      </c>
      <c r="B28" s="240"/>
      <c r="E28" s="225" t="s">
        <v>10</v>
      </c>
      <c r="F28" s="226">
        <f>+'Local &amp; State'!F12+'Local &amp; State'!F34</f>
        <v>183652.8</v>
      </c>
      <c r="G28" s="227">
        <f t="shared" si="9"/>
        <v>-0.03692912766459533</v>
      </c>
      <c r="H28" s="228">
        <f>SUM(F$24:F28)/SUM(A$24:A28)-1</f>
        <v>0.29551138618666895</v>
      </c>
      <c r="I28" s="308">
        <f>+'Local &amp; State'!H12+'Local &amp; State'!H34</f>
        <v>218852</v>
      </c>
      <c r="J28" s="227">
        <f t="shared" si="10"/>
        <v>0.1916616572140475</v>
      </c>
      <c r="K28" s="228">
        <f>SUM(I$24:I28)/SUM(F$24:F28)-1</f>
        <v>0.033721631765839755</v>
      </c>
      <c r="L28" s="152" t="s">
        <v>10</v>
      </c>
      <c r="M28" s="216"/>
      <c r="N28" s="241">
        <f>+'.0625% Dist'!D41</f>
        <v>110867</v>
      </c>
      <c r="O28" s="216"/>
      <c r="P28" s="216"/>
      <c r="Q28" s="226">
        <f>+'.0625% Dist'!F41</f>
        <v>115262</v>
      </c>
      <c r="R28" s="227">
        <f t="shared" si="12"/>
        <v>0.03964209367981453</v>
      </c>
      <c r="S28" s="227">
        <f>SUM(Q$24:Q28)/SUM(N$24:N28)-1</f>
        <v>0.026722203431444047</v>
      </c>
      <c r="T28" s="226">
        <f>+'.0625% Dist'!H41</f>
        <v>105456</v>
      </c>
      <c r="U28" s="227">
        <f t="shared" si="11"/>
        <v>-0.0850757404868907</v>
      </c>
      <c r="V28" s="228">
        <f>SUM(T$24:T28)/SUM(Q$24:Q28)-1</f>
        <v>-0.11731251285532962</v>
      </c>
      <c r="W28" s="152" t="s">
        <v>10</v>
      </c>
      <c r="X28" s="224"/>
      <c r="Y28" s="216"/>
      <c r="Z28" s="216"/>
      <c r="AA28" s="226"/>
      <c r="AB28" s="227"/>
      <c r="AC28" s="228"/>
      <c r="AD28" s="308">
        <f>+'.375%'!H11</f>
        <v>4600293</v>
      </c>
      <c r="AE28" s="227" t="s">
        <v>221</v>
      </c>
      <c r="AF28" s="229" t="s">
        <v>221</v>
      </c>
      <c r="AH28" s="218">
        <v>23488440</v>
      </c>
      <c r="AI28" s="218">
        <v>22723134</v>
      </c>
      <c r="AJ28" s="218">
        <f t="shared" si="13"/>
        <v>22723134</v>
      </c>
    </row>
    <row r="29" spans="1:36" ht="12.75">
      <c r="A29" s="240">
        <f>+'Local &amp; State'!D13+'Local &amp; State'!D35</f>
        <v>165933</v>
      </c>
      <c r="B29" s="240"/>
      <c r="E29" s="225" t="s">
        <v>11</v>
      </c>
      <c r="F29" s="226">
        <f>+'Local &amp; State'!F13+'Local &amp; State'!F35</f>
        <v>191715.47999999998</v>
      </c>
      <c r="G29" s="227">
        <f t="shared" si="9"/>
        <v>0.155378857731735</v>
      </c>
      <c r="H29" s="228">
        <f>SUM(F$24:F29)/SUM(A$24:A29)-1</f>
        <v>0.2717786623391205</v>
      </c>
      <c r="I29" s="308">
        <f>+'Local &amp; State'!H13+'Local &amp; State'!H35</f>
        <v>206235</v>
      </c>
      <c r="J29" s="227">
        <f t="shared" si="10"/>
        <v>0.07573472940213288</v>
      </c>
      <c r="K29" s="228">
        <f>SUM(I$24:I29)/SUM(F$24:F29)-1</f>
        <v>0.040185704179038995</v>
      </c>
      <c r="L29" s="152" t="s">
        <v>11</v>
      </c>
      <c r="M29" s="216"/>
      <c r="N29" s="241">
        <f>+'.0625% Dist'!D42</f>
        <v>110090</v>
      </c>
      <c r="O29" s="216"/>
      <c r="P29" s="216"/>
      <c r="Q29" s="226">
        <f>+'.0625% Dist'!F42</f>
        <v>137462</v>
      </c>
      <c r="R29" s="227">
        <f t="shared" si="12"/>
        <v>0.24863293668816433</v>
      </c>
      <c r="S29" s="227">
        <f>SUM(Q$24:Q29)/SUM(N$24:N29)-1</f>
        <v>0.06199902675274749</v>
      </c>
      <c r="T29" s="226">
        <f>+'.0625% Dist'!H42</f>
        <v>134613</v>
      </c>
      <c r="U29" s="227">
        <f t="shared" si="11"/>
        <v>-0.020725727837511476</v>
      </c>
      <c r="V29" s="228">
        <f>SUM(T$24:T29)/SUM(Q$24:Q29)-1</f>
        <v>-0.09925992198111933</v>
      </c>
      <c r="W29" s="152" t="s">
        <v>11</v>
      </c>
      <c r="X29" s="224"/>
      <c r="Y29" s="216"/>
      <c r="Z29" s="216"/>
      <c r="AA29" s="226"/>
      <c r="AB29" s="227"/>
      <c r="AC29" s="228"/>
      <c r="AD29" s="308">
        <f>+'.375%'!H12</f>
        <v>4330154</v>
      </c>
      <c r="AE29" s="227" t="s">
        <v>221</v>
      </c>
      <c r="AF29" s="229" t="s">
        <v>221</v>
      </c>
      <c r="AH29" s="218">
        <v>23596444</v>
      </c>
      <c r="AI29" s="218">
        <v>23186040</v>
      </c>
      <c r="AJ29" s="218">
        <f t="shared" si="13"/>
        <v>23186040</v>
      </c>
    </row>
    <row r="30" spans="1:36" ht="12.75">
      <c r="A30" s="240">
        <f>+'Local &amp; State'!D14+'Local &amp; State'!D36</f>
        <v>179607</v>
      </c>
      <c r="B30" s="240"/>
      <c r="E30" s="225" t="s">
        <v>12</v>
      </c>
      <c r="F30" s="226">
        <f>+'Local &amp; State'!F14+'Local &amp; State'!F36</f>
        <v>216247.91</v>
      </c>
      <c r="G30" s="227">
        <f t="shared" si="9"/>
        <v>0.20400602426408776</v>
      </c>
      <c r="H30" s="228">
        <f>SUM(F$24:F30)/SUM(A$24:A30)-1</f>
        <v>0.26127954064984893</v>
      </c>
      <c r="I30" s="308">
        <f>+'Local &amp; State'!H14+'Local &amp; State'!H36</f>
        <v>154085</v>
      </c>
      <c r="J30" s="227">
        <f aca="true" t="shared" si="14" ref="J30:J35">+I30/F30-1</f>
        <v>-0.2874613215915012</v>
      </c>
      <c r="K30" s="228">
        <f>SUM(I$24:I30)/SUM(F$24:F30)-1</f>
        <v>-0.008267457077111517</v>
      </c>
      <c r="L30" s="152" t="s">
        <v>12</v>
      </c>
      <c r="M30" s="216"/>
      <c r="N30" s="241">
        <f>+'.0625% Dist'!D43</f>
        <v>131378</v>
      </c>
      <c r="O30" s="216"/>
      <c r="P30" s="216"/>
      <c r="Q30" s="226">
        <f>+'.0625% Dist'!F43</f>
        <v>154705</v>
      </c>
      <c r="R30" s="227">
        <f t="shared" si="12"/>
        <v>0.1775563640792217</v>
      </c>
      <c r="S30" s="227">
        <f>SUM(Q$24:Q30)/SUM(N$24:N30)-1</f>
        <v>0.08042553449730239</v>
      </c>
      <c r="T30" s="226">
        <f>+'.0625% Dist'!H43</f>
        <v>154235</v>
      </c>
      <c r="U30" s="227">
        <f aca="true" t="shared" si="15" ref="U30:U35">+T30/Q30-1</f>
        <v>-0.003038040140913356</v>
      </c>
      <c r="V30" s="228">
        <f>SUM(T$24:T30)/SUM(Q$24:Q30)-1</f>
        <v>-0.0825372289275732</v>
      </c>
      <c r="W30" s="152" t="s">
        <v>12</v>
      </c>
      <c r="X30" s="224"/>
      <c r="Y30" s="216"/>
      <c r="Z30" s="216"/>
      <c r="AA30" s="226"/>
      <c r="AB30" s="227"/>
      <c r="AC30" s="228"/>
      <c r="AD30" s="308">
        <f>+'.375%'!H13</f>
        <v>4953907</v>
      </c>
      <c r="AE30" s="227" t="s">
        <v>221</v>
      </c>
      <c r="AF30" s="229" t="s">
        <v>221</v>
      </c>
      <c r="AH30" s="218">
        <v>29596448</v>
      </c>
      <c r="AI30" s="218">
        <v>28185477</v>
      </c>
      <c r="AJ30" s="218">
        <f t="shared" si="13"/>
        <v>28185477</v>
      </c>
    </row>
    <row r="31" spans="1:36" ht="12.75">
      <c r="A31" s="240">
        <f>+'Local &amp; State'!D15+'Local &amp; State'!D37</f>
        <v>159024</v>
      </c>
      <c r="B31" s="240"/>
      <c r="E31" s="225" t="s">
        <v>13</v>
      </c>
      <c r="F31" s="226">
        <f>+'Local &amp; State'!F15+'Local &amp; State'!F37</f>
        <v>223486.16999999998</v>
      </c>
      <c r="G31" s="227">
        <f t="shared" si="9"/>
        <v>0.40536126622396607</v>
      </c>
      <c r="H31" s="228">
        <f>SUM(F$24:F31)/SUM(A$24:A31)-1</f>
        <v>0.27865851133304664</v>
      </c>
      <c r="I31" s="308">
        <f>+'Local &amp; State'!H15+'Local &amp; State'!H37</f>
        <v>245760</v>
      </c>
      <c r="J31" s="227">
        <f t="shared" si="14"/>
        <v>0.09966536184319597</v>
      </c>
      <c r="K31" s="228">
        <f>SUM(I$24:I31)/SUM(F$24:F31)-1</f>
        <v>0.00604130541797665</v>
      </c>
      <c r="L31" s="152" t="s">
        <v>13</v>
      </c>
      <c r="M31" s="216"/>
      <c r="N31" s="241">
        <f>+'.0625% Dist'!D44</f>
        <v>107804</v>
      </c>
      <c r="O31" s="216"/>
      <c r="P31" s="216"/>
      <c r="Q31" s="226">
        <f>+'.0625% Dist'!F44</f>
        <v>134414</v>
      </c>
      <c r="R31" s="227">
        <f t="shared" si="12"/>
        <v>0.2468368520648585</v>
      </c>
      <c r="S31" s="227">
        <f>SUM(Q$24:Q31)/SUM(N$24:N31)-1</f>
        <v>0.09968026497543758</v>
      </c>
      <c r="T31" s="226">
        <f>+'.0625% Dist'!H44</f>
        <v>134284</v>
      </c>
      <c r="U31" s="227">
        <f t="shared" si="15"/>
        <v>-0.0009671611588079054</v>
      </c>
      <c r="V31" s="228">
        <f>SUM(T$24:T31)/SUM(Q$24:Q31)-1</f>
        <v>-0.07183612439023912</v>
      </c>
      <c r="W31" s="152" t="s">
        <v>13</v>
      </c>
      <c r="X31" s="224"/>
      <c r="Y31" s="216"/>
      <c r="Z31" s="216"/>
      <c r="AA31" s="226"/>
      <c r="AB31" s="227"/>
      <c r="AC31" s="228"/>
      <c r="AD31" s="308">
        <f>+'.375%'!H14</f>
        <v>4287552</v>
      </c>
      <c r="AE31" s="227" t="s">
        <v>221</v>
      </c>
      <c r="AF31" s="229" t="s">
        <v>221</v>
      </c>
      <c r="AH31" s="218">
        <v>23592430</v>
      </c>
      <c r="AI31" s="218">
        <v>23250095</v>
      </c>
      <c r="AJ31" s="218">
        <f t="shared" si="13"/>
        <v>23250095</v>
      </c>
    </row>
    <row r="32" spans="1:36" ht="12.75">
      <c r="A32" s="240">
        <f>+'Local &amp; State'!D16+'Local &amp; State'!D38</f>
        <v>159373</v>
      </c>
      <c r="B32" s="240"/>
      <c r="E32" s="225" t="s">
        <v>14</v>
      </c>
      <c r="F32" s="226">
        <f>+'Local &amp; State'!F16+'Local &amp; State'!F38</f>
        <v>282663.06</v>
      </c>
      <c r="G32" s="227">
        <f t="shared" si="9"/>
        <v>0.7735943980473481</v>
      </c>
      <c r="H32" s="228">
        <f>SUM(F$24:F32)/SUM(A$24:A32)-1</f>
        <v>0.33203569693336066</v>
      </c>
      <c r="I32" s="308">
        <f>+'Local &amp; State'!H16+'Local &amp; State'!H38</f>
        <v>241921</v>
      </c>
      <c r="J32" s="227">
        <f t="shared" si="14"/>
        <v>-0.14413648532638113</v>
      </c>
      <c r="K32" s="228">
        <f>SUM(I$24:I32)/SUM(F$24:F32)-1</f>
        <v>-0.01552376509140918</v>
      </c>
      <c r="L32" s="152" t="s">
        <v>14</v>
      </c>
      <c r="M32" s="216"/>
      <c r="N32" s="241">
        <f>+'.0625% Dist'!D45</f>
        <v>105263</v>
      </c>
      <c r="O32" s="216"/>
      <c r="P32" s="216"/>
      <c r="Q32" s="226">
        <f>+'.0625% Dist'!F45</f>
        <v>126614</v>
      </c>
      <c r="R32" s="227">
        <f t="shared" si="12"/>
        <v>0.20283480425220635</v>
      </c>
      <c r="S32" s="227">
        <f>SUM(Q$24:Q32)/SUM(N$24:N32)-1</f>
        <v>0.11015147949992854</v>
      </c>
      <c r="T32" s="226">
        <f>+'.0625% Dist'!H45</f>
        <v>130432</v>
      </c>
      <c r="U32" s="227">
        <f t="shared" si="15"/>
        <v>0.03015464324640238</v>
      </c>
      <c r="V32" s="228">
        <f>SUM(T$24:T32)/SUM(Q$24:Q32)-1</f>
        <v>-0.060618695686920354</v>
      </c>
      <c r="W32" s="152" t="s">
        <v>14</v>
      </c>
      <c r="X32" s="224"/>
      <c r="Y32" s="216"/>
      <c r="Z32" s="216"/>
      <c r="AA32" s="226"/>
      <c r="AB32" s="227"/>
      <c r="AC32" s="228"/>
      <c r="AD32" s="308">
        <f>+'.375%'!H15</f>
        <v>4199152</v>
      </c>
      <c r="AE32" s="227" t="s">
        <v>221</v>
      </c>
      <c r="AF32" s="229" t="s">
        <v>221</v>
      </c>
      <c r="AH32" s="218">
        <v>21871095</v>
      </c>
      <c r="AI32" s="218">
        <v>22549495</v>
      </c>
      <c r="AJ32" s="218">
        <f t="shared" si="13"/>
        <v>22549495</v>
      </c>
    </row>
    <row r="33" spans="1:36" ht="12.75">
      <c r="A33" s="240">
        <f>+'Local &amp; State'!D17+'Local &amp; State'!D39</f>
        <v>174719</v>
      </c>
      <c r="B33" s="240"/>
      <c r="E33" s="225" t="s">
        <v>15</v>
      </c>
      <c r="F33" s="226">
        <f>+'Local &amp; State'!F17+'Local &amp; State'!F39</f>
        <v>247957.69</v>
      </c>
      <c r="G33" s="227">
        <f t="shared" si="9"/>
        <v>0.41917988312662047</v>
      </c>
      <c r="H33" s="228">
        <f>SUM(F$24:F33)/SUM(A$24:A33)-1</f>
        <v>0.3412494999978821</v>
      </c>
      <c r="I33" s="308">
        <f>+'Local &amp; State'!H17+'Local &amp; State'!H39</f>
        <v>320526</v>
      </c>
      <c r="J33" s="227">
        <f t="shared" si="14"/>
        <v>0.29266408313450576</v>
      </c>
      <c r="K33" s="228">
        <f>SUM(I$24:I33)/SUM(F$24:F33)-1</f>
        <v>0.018954379830718793</v>
      </c>
      <c r="L33" s="152" t="s">
        <v>15</v>
      </c>
      <c r="M33" s="216"/>
      <c r="N33" s="241">
        <f>+'.0625% Dist'!D46</f>
        <v>120404</v>
      </c>
      <c r="O33" s="216"/>
      <c r="P33" s="216"/>
      <c r="Q33" s="226">
        <f>+'.0625% Dist'!F46</f>
        <v>153147</v>
      </c>
      <c r="R33" s="227">
        <f t="shared" si="12"/>
        <v>0.2719427925982525</v>
      </c>
      <c r="S33" s="227">
        <f>SUM(Q$24:Q33)/SUM(N$24:N33)-1</f>
        <v>0.12698293380889192</v>
      </c>
      <c r="T33" s="226">
        <f>+'.0625% Dist'!H46</f>
        <v>148071</v>
      </c>
      <c r="U33" s="227">
        <f t="shared" si="15"/>
        <v>-0.03314462575172872</v>
      </c>
      <c r="V33" s="228">
        <f>SUM(T$24:T33)/SUM(Q$24:Q33)-1</f>
        <v>-0.05739287902031909</v>
      </c>
      <c r="W33" s="152" t="s">
        <v>15</v>
      </c>
      <c r="X33" s="224"/>
      <c r="Y33" s="216"/>
      <c r="Z33" s="216"/>
      <c r="AA33" s="226"/>
      <c r="AB33" s="227"/>
      <c r="AC33" s="227"/>
      <c r="AD33" s="308">
        <f>+'.375%'!H16</f>
        <v>4749245</v>
      </c>
      <c r="AE33" s="227" t="s">
        <v>221</v>
      </c>
      <c r="AF33" s="229" t="s">
        <v>221</v>
      </c>
      <c r="AH33" s="218">
        <v>26551044</v>
      </c>
      <c r="AI33" s="218">
        <v>25607132</v>
      </c>
      <c r="AJ33" s="218">
        <f t="shared" si="13"/>
        <v>25607132</v>
      </c>
    </row>
    <row r="34" spans="1:36" ht="12.75">
      <c r="A34" s="240">
        <f>+'Local &amp; State'!D18+'Local &amp; State'!D40</f>
        <v>221544</v>
      </c>
      <c r="B34" s="240"/>
      <c r="E34" s="225" t="s">
        <v>16</v>
      </c>
      <c r="F34" s="226">
        <f>+'Local &amp; State'!F18+'Local &amp; State'!F40</f>
        <v>173052.65</v>
      </c>
      <c r="G34" s="227">
        <f t="shared" si="9"/>
        <v>-0.21887909399487238</v>
      </c>
      <c r="H34" s="228">
        <f>SUM(F$24:F34)/SUM(A$24:A34)-1</f>
        <v>0.27503248868618924</v>
      </c>
      <c r="I34" s="308">
        <f>+'Local &amp; State'!H18+'Local &amp; State'!H40</f>
        <v>165780</v>
      </c>
      <c r="J34" s="227">
        <f t="shared" si="14"/>
        <v>-0.04202564941941078</v>
      </c>
      <c r="K34" s="228">
        <f>SUM(I$24:I34)/SUM(F$24:F34)-1</f>
        <v>0.014537999465870532</v>
      </c>
      <c r="L34" s="152" t="s">
        <v>16</v>
      </c>
      <c r="M34" s="216"/>
      <c r="N34" s="241">
        <f>+'.0625% Dist'!D47</f>
        <v>107075</v>
      </c>
      <c r="O34" s="216"/>
      <c r="P34" s="216"/>
      <c r="Q34" s="226">
        <f>+'.0625% Dist'!F47</f>
        <v>135946</v>
      </c>
      <c r="R34" s="227">
        <f t="shared" si="12"/>
        <v>0.26963343450852206</v>
      </c>
      <c r="S34" s="227">
        <f>SUM(Q$24:Q34)/SUM(N$24:N34)-1</f>
        <v>0.1390627236642621</v>
      </c>
      <c r="T34" s="226">
        <f>+'.0625% Dist'!H47</f>
        <v>145761</v>
      </c>
      <c r="U34" s="227">
        <f t="shared" si="15"/>
        <v>0.07219778441439995</v>
      </c>
      <c r="V34" s="228">
        <f>SUM(T$24:T34)/SUM(Q$24:Q34)-1</f>
        <v>-0.04516107531196867</v>
      </c>
      <c r="W34" s="152" t="s">
        <v>16</v>
      </c>
      <c r="X34" s="224"/>
      <c r="Y34" s="216"/>
      <c r="Z34" s="216"/>
      <c r="AA34" s="226"/>
      <c r="AB34" s="227"/>
      <c r="AC34" s="227"/>
      <c r="AD34" s="308">
        <f>+'.375%'!H17</f>
        <v>4728319</v>
      </c>
      <c r="AE34" s="227" t="s">
        <v>221</v>
      </c>
      <c r="AF34" s="229" t="s">
        <v>221</v>
      </c>
      <c r="AH34" s="218">
        <v>23621536</v>
      </c>
      <c r="AI34" s="218">
        <v>23224946</v>
      </c>
      <c r="AJ34" s="218">
        <f t="shared" si="13"/>
        <v>23224946</v>
      </c>
    </row>
    <row r="35" spans="1:36" ht="12.75">
      <c r="A35" s="240">
        <f>+'Local &amp; State'!D19+'Local &amp; State'!D41</f>
        <v>180890.03</v>
      </c>
      <c r="B35" s="240"/>
      <c r="E35" s="230" t="s">
        <v>17</v>
      </c>
      <c r="F35" s="231">
        <f>+'Local &amp; State'!F19+'Local &amp; State'!F41</f>
        <v>193622.01</v>
      </c>
      <c r="G35" s="232">
        <f t="shared" si="9"/>
        <v>0.07038519480592709</v>
      </c>
      <c r="H35" s="233">
        <f>SUM(F$24:F35)/SUM(A$24:A35)-1</f>
        <v>0.25701790491314935</v>
      </c>
      <c r="I35" s="266">
        <f>+'Local &amp; State'!H19+'Local &amp; State'!H41</f>
        <v>215957.02000000002</v>
      </c>
      <c r="J35" s="232">
        <f t="shared" si="14"/>
        <v>0.1153536728598159</v>
      </c>
      <c r="K35" s="233">
        <f>SUM(I$24:I35)/SUM(F$24:F35)-1</f>
        <v>0.022094920967742127</v>
      </c>
      <c r="L35" s="273" t="s">
        <v>17</v>
      </c>
      <c r="M35" s="236"/>
      <c r="N35" s="294">
        <f>+'.0625% Dist'!D48</f>
        <v>116951</v>
      </c>
      <c r="O35" s="236"/>
      <c r="P35" s="236"/>
      <c r="Q35" s="231">
        <f>+'.0625% Dist'!F48</f>
        <v>116458</v>
      </c>
      <c r="R35" s="232">
        <f t="shared" si="12"/>
        <v>-0.004215440654633085</v>
      </c>
      <c r="S35" s="232">
        <f>SUM(Q$24:Q35)/SUM(N$24:N35)-1</f>
        <v>0.12693263800110333</v>
      </c>
      <c r="T35" s="231">
        <f>+'.0625% Dist'!H48</f>
        <v>166290.45</v>
      </c>
      <c r="U35" s="232">
        <f t="shared" si="15"/>
        <v>0.42790061653128175</v>
      </c>
      <c r="V35" s="233">
        <f>SUM(T$24:T35)/SUM(Q$24:Q35)-1</f>
        <v>-0.009772011765559863</v>
      </c>
      <c r="W35" s="239" t="s">
        <v>17</v>
      </c>
      <c r="X35" s="237"/>
      <c r="Y35" s="236"/>
      <c r="Z35" s="236"/>
      <c r="AA35" s="231"/>
      <c r="AB35" s="232"/>
      <c r="AC35" s="232"/>
      <c r="AD35" s="325">
        <f>+'.375%'!H18</f>
        <v>4722804.83</v>
      </c>
      <c r="AE35" s="232" t="s">
        <v>221</v>
      </c>
      <c r="AF35" s="234" t="s">
        <v>221</v>
      </c>
      <c r="AH35" s="218">
        <v>25253882.339999996</v>
      </c>
      <c r="AI35" s="218">
        <v>24204890</v>
      </c>
      <c r="AJ35" s="218">
        <f t="shared" si="13"/>
        <v>24204890</v>
      </c>
    </row>
    <row r="36" spans="5:32" ht="6" customHeight="1">
      <c r="E36" s="252"/>
      <c r="F36" s="146"/>
      <c r="G36" s="216"/>
      <c r="H36" s="147"/>
      <c r="I36" s="224"/>
      <c r="J36" s="216"/>
      <c r="K36" s="147"/>
      <c r="L36" s="216"/>
      <c r="M36" s="216"/>
      <c r="N36" s="216"/>
      <c r="O36" s="216"/>
      <c r="P36" s="216"/>
      <c r="Q36" s="146"/>
      <c r="R36" s="216"/>
      <c r="S36" s="216"/>
      <c r="T36" s="226"/>
      <c r="U36" s="216"/>
      <c r="V36" s="147"/>
      <c r="W36" s="216"/>
      <c r="X36" s="216"/>
      <c r="Y36" s="216"/>
      <c r="Z36" s="216"/>
      <c r="AA36" s="146"/>
      <c r="AB36" s="216"/>
      <c r="AC36" s="216"/>
      <c r="AD36" s="226"/>
      <c r="AE36" s="216"/>
      <c r="AF36" s="235"/>
    </row>
    <row r="37" spans="1:32" ht="13.5" thickBot="1">
      <c r="A37" s="213">
        <f>SUM(A24:A35)</f>
        <v>2054927.03</v>
      </c>
      <c r="B37" s="213"/>
      <c r="C37" s="213"/>
      <c r="D37" s="213"/>
      <c r="E37" s="285" t="s">
        <v>202</v>
      </c>
      <c r="F37" s="242">
        <f>SUM(F24:F35)</f>
        <v>2583080.0700000003</v>
      </c>
      <c r="G37" s="243">
        <f t="shared" si="9"/>
        <v>0.25701790491314935</v>
      </c>
      <c r="H37" s="292"/>
      <c r="I37" s="245">
        <f>SUM(I24:I35)</f>
        <v>2640153.02</v>
      </c>
      <c r="J37" s="246"/>
      <c r="K37" s="247"/>
      <c r="L37" s="244" t="s">
        <v>202</v>
      </c>
      <c r="M37" s="244"/>
      <c r="N37" s="248">
        <f>SUM(N24:N35)</f>
        <v>1381402</v>
      </c>
      <c r="O37" s="248"/>
      <c r="P37" s="248"/>
      <c r="Q37" s="242">
        <f>SUM(Q24:Q35)</f>
        <v>1556747</v>
      </c>
      <c r="R37" s="243">
        <f t="shared" si="12"/>
        <v>0.12693263800110333</v>
      </c>
      <c r="S37" s="243"/>
      <c r="T37" s="242">
        <f>SUM(T24:T35)</f>
        <v>1541534.45</v>
      </c>
      <c r="U37" s="243"/>
      <c r="V37" s="247"/>
      <c r="W37" s="244" t="s">
        <v>202</v>
      </c>
      <c r="X37" s="248"/>
      <c r="Y37" s="248"/>
      <c r="Z37" s="248"/>
      <c r="AA37" s="242"/>
      <c r="AB37" s="243"/>
      <c r="AC37" s="244"/>
      <c r="AD37" s="242">
        <f>SUM(AD24:AD35)</f>
        <v>49991498.83</v>
      </c>
      <c r="AE37" s="243"/>
      <c r="AF37" s="249"/>
    </row>
    <row r="38" spans="1:32" ht="12.75">
      <c r="A38" s="213"/>
      <c r="B38" s="213"/>
      <c r="C38" s="213"/>
      <c r="D38" s="213"/>
      <c r="E38" s="170"/>
      <c r="F38" s="224"/>
      <c r="G38" s="227"/>
      <c r="H38" s="216"/>
      <c r="I38" s="224"/>
      <c r="J38" s="259"/>
      <c r="K38" s="227"/>
      <c r="L38" s="216"/>
      <c r="M38" s="216"/>
      <c r="N38" s="241"/>
      <c r="O38" s="241"/>
      <c r="P38" s="241"/>
      <c r="Q38" s="224"/>
      <c r="R38" s="227"/>
      <c r="S38" s="227"/>
      <c r="T38" s="224"/>
      <c r="U38" s="227"/>
      <c r="V38" s="227"/>
      <c r="W38" s="216"/>
      <c r="X38" s="241"/>
      <c r="Y38" s="241"/>
      <c r="Z38" s="241"/>
      <c r="AA38" s="224"/>
      <c r="AB38" s="227"/>
      <c r="AC38" s="216"/>
      <c r="AD38" s="224"/>
      <c r="AE38" s="227"/>
      <c r="AF38" s="227"/>
    </row>
    <row r="39" spans="1:32" ht="12.75">
      <c r="A39" s="213"/>
      <c r="B39" s="213"/>
      <c r="C39" s="213"/>
      <c r="D39" s="213"/>
      <c r="E39" s="170"/>
      <c r="F39" s="224"/>
      <c r="G39" s="227"/>
      <c r="H39" s="216"/>
      <c r="I39" s="224"/>
      <c r="J39" s="259"/>
      <c r="K39" s="227"/>
      <c r="L39" s="216"/>
      <c r="M39" s="216"/>
      <c r="N39" s="241"/>
      <c r="O39" s="241"/>
      <c r="P39" s="241"/>
      <c r="Q39" s="224"/>
      <c r="R39" s="227"/>
      <c r="S39" s="227"/>
      <c r="T39" s="224"/>
      <c r="U39" s="227"/>
      <c r="V39" s="227"/>
      <c r="W39" s="216"/>
      <c r="X39" s="241"/>
      <c r="Y39" s="241"/>
      <c r="Z39" s="241"/>
      <c r="AA39" s="224"/>
      <c r="AB39" s="227"/>
      <c r="AC39" s="216"/>
      <c r="AD39" s="224"/>
      <c r="AE39" s="227"/>
      <c r="AF39" s="227"/>
    </row>
    <row r="40" spans="1:32" ht="13.5" thickBot="1">
      <c r="A40" s="213"/>
      <c r="B40" s="213"/>
      <c r="C40" s="213"/>
      <c r="D40" s="213"/>
      <c r="E40" s="170"/>
      <c r="F40" s="224"/>
      <c r="G40" s="227"/>
      <c r="H40" s="216"/>
      <c r="I40" s="224"/>
      <c r="J40" s="259"/>
      <c r="K40" s="227"/>
      <c r="L40" s="216"/>
      <c r="M40" s="216"/>
      <c r="N40" s="241"/>
      <c r="O40" s="241"/>
      <c r="P40" s="241"/>
      <c r="Q40" s="224"/>
      <c r="R40" s="227"/>
      <c r="S40" s="227"/>
      <c r="T40" s="224"/>
      <c r="U40" s="227"/>
      <c r="V40" s="227"/>
      <c r="W40" s="216"/>
      <c r="X40" s="241"/>
      <c r="Y40" s="241"/>
      <c r="Z40" s="241"/>
      <c r="AA40" s="224"/>
      <c r="AB40" s="227"/>
      <c r="AC40" s="216"/>
      <c r="AD40" s="224"/>
      <c r="AE40" s="227"/>
      <c r="AF40" s="227"/>
    </row>
    <row r="41" spans="1:32" ht="12.75">
      <c r="A41" s="275"/>
      <c r="B41" s="275"/>
      <c r="C41" s="275"/>
      <c r="D41" s="275"/>
      <c r="E41" s="338" t="s">
        <v>205</v>
      </c>
      <c r="F41" s="336"/>
      <c r="G41" s="336"/>
      <c r="H41" s="336"/>
      <c r="I41" s="336"/>
      <c r="J41" s="336"/>
      <c r="K41" s="337"/>
      <c r="Q41" s="224"/>
      <c r="R41" s="227"/>
      <c r="S41" s="227"/>
      <c r="T41" s="224"/>
      <c r="U41" s="227"/>
      <c r="V41" s="227"/>
      <c r="W41" s="216"/>
      <c r="X41" s="241"/>
      <c r="Y41" s="241"/>
      <c r="Z41" s="241"/>
      <c r="AA41" s="224"/>
      <c r="AB41" s="227"/>
      <c r="AC41" s="216"/>
      <c r="AD41" s="224"/>
      <c r="AE41" s="227"/>
      <c r="AF41" s="227"/>
    </row>
    <row r="42" spans="1:32" ht="26.25" thickBot="1">
      <c r="A42" s="239" t="s">
        <v>29</v>
      </c>
      <c r="B42" s="152"/>
      <c r="C42" s="152"/>
      <c r="D42" s="152"/>
      <c r="E42" s="215" t="s">
        <v>29</v>
      </c>
      <c r="F42" s="91" t="s">
        <v>231</v>
      </c>
      <c r="G42" s="152" t="s">
        <v>200</v>
      </c>
      <c r="H42" s="318" t="s">
        <v>201</v>
      </c>
      <c r="I42" s="319" t="s">
        <v>242</v>
      </c>
      <c r="J42" s="320" t="s">
        <v>200</v>
      </c>
      <c r="K42" s="321" t="s">
        <v>201</v>
      </c>
      <c r="L42" s="216"/>
      <c r="M42" s="216"/>
      <c r="N42" s="241"/>
      <c r="O42" s="241"/>
      <c r="P42" s="241"/>
      <c r="Q42" s="224"/>
      <c r="R42" s="227"/>
      <c r="S42" s="227"/>
      <c r="T42" s="224"/>
      <c r="U42" s="227"/>
      <c r="V42" s="227"/>
      <c r="W42" s="216"/>
      <c r="X42" s="241"/>
      <c r="Y42" s="241"/>
      <c r="Z42" s="241"/>
      <c r="AA42" s="224"/>
      <c r="AB42" s="227"/>
      <c r="AC42" s="216"/>
      <c r="AD42" s="224"/>
      <c r="AE42" s="227"/>
      <c r="AF42" s="227"/>
    </row>
    <row r="43" spans="1:32" ht="12.75">
      <c r="A43" s="152" t="s">
        <v>6</v>
      </c>
      <c r="B43" s="224">
        <v>28832853</v>
      </c>
      <c r="C43" s="216"/>
      <c r="D43" s="216"/>
      <c r="E43" s="215" t="s">
        <v>6</v>
      </c>
      <c r="F43" s="220">
        <f>+F5+Q5+AA5+F24+Q24+AA24</f>
        <v>30307223.95</v>
      </c>
      <c r="G43" s="221">
        <f aca="true" t="shared" si="16" ref="G43:G54">+F43/B43-1</f>
        <v>0.05113510445879221</v>
      </c>
      <c r="H43" s="227">
        <f>SUM(F$43:F43)/SUM(B$43:B43)-1</f>
        <v>0.05113510445879221</v>
      </c>
      <c r="I43" s="298">
        <f aca="true" t="shared" si="17" ref="I43:I48">+I5+T5+AD5+I24+T24+AD24</f>
        <v>30118209</v>
      </c>
      <c r="J43" s="227">
        <f aca="true" t="shared" si="18" ref="J43:J48">+I43/F43-1</f>
        <v>-0.006236630260555431</v>
      </c>
      <c r="K43" s="229">
        <f>SUM(I$43:I43)/SUM(F$43:F43)-1</f>
        <v>-0.006236630260555431</v>
      </c>
      <c r="L43" s="216"/>
      <c r="M43" s="216"/>
      <c r="N43" s="224">
        <v>30307223.950000003</v>
      </c>
      <c r="O43" s="224">
        <f aca="true" t="shared" si="19" ref="O43:O53">+N43-F43</f>
        <v>0</v>
      </c>
      <c r="P43" s="241"/>
      <c r="Q43" s="224"/>
      <c r="R43" s="227"/>
      <c r="S43" s="227"/>
      <c r="T43" s="224"/>
      <c r="U43" s="227"/>
      <c r="V43" s="227"/>
      <c r="W43" s="216"/>
      <c r="X43" s="241"/>
      <c r="Y43" s="241"/>
      <c r="Z43" s="241"/>
      <c r="AA43" s="224"/>
      <c r="AB43" s="227"/>
      <c r="AC43" s="216"/>
      <c r="AD43" s="224"/>
      <c r="AE43" s="227"/>
      <c r="AF43" s="227"/>
    </row>
    <row r="44" spans="1:32" ht="12.75">
      <c r="A44" s="152" t="s">
        <v>7</v>
      </c>
      <c r="B44" s="224">
        <v>27011931</v>
      </c>
      <c r="C44" s="216"/>
      <c r="D44" s="216"/>
      <c r="E44" s="215" t="s">
        <v>7</v>
      </c>
      <c r="F44" s="226">
        <f>+F6+Q6+AA6+F25+Q25+AA25</f>
        <v>26816388.63</v>
      </c>
      <c r="G44" s="227">
        <f t="shared" si="16"/>
        <v>-0.007239111117231856</v>
      </c>
      <c r="H44" s="227">
        <f>SUM(F$43:F44)/SUM(B$43:B44)-1</f>
        <v>0.02289969605755826</v>
      </c>
      <c r="I44" s="298">
        <f t="shared" si="17"/>
        <v>32195240</v>
      </c>
      <c r="J44" s="227">
        <f t="shared" si="18"/>
        <v>0.20058075098086015</v>
      </c>
      <c r="K44" s="229">
        <f>SUM(I$43:I44)/SUM(F$43:F44)-1</f>
        <v>0.09085273472037114</v>
      </c>
      <c r="L44" s="216"/>
      <c r="M44" s="216"/>
      <c r="N44" s="224">
        <v>26816386.63</v>
      </c>
      <c r="O44" s="224">
        <f t="shared" si="19"/>
        <v>-2</v>
      </c>
      <c r="P44" s="241"/>
      <c r="Q44" s="224"/>
      <c r="R44" s="227"/>
      <c r="S44" s="227"/>
      <c r="T44" s="224"/>
      <c r="U44" s="227"/>
      <c r="V44" s="227"/>
      <c r="W44" s="216"/>
      <c r="X44" s="241"/>
      <c r="Y44" s="241"/>
      <c r="Z44" s="241"/>
      <c r="AA44" s="224"/>
      <c r="AB44" s="227"/>
      <c r="AC44" s="216"/>
      <c r="AD44" s="224"/>
      <c r="AE44" s="227"/>
      <c r="AF44" s="227"/>
    </row>
    <row r="45" spans="1:32" ht="12.75">
      <c r="A45" s="152" t="s">
        <v>8</v>
      </c>
      <c r="B45" s="224">
        <v>26501683</v>
      </c>
      <c r="C45" s="216"/>
      <c r="D45" s="216"/>
      <c r="E45" s="215" t="s">
        <v>8</v>
      </c>
      <c r="F45" s="226">
        <f aca="true" t="shared" si="20" ref="F45:F54">+F7+Q7+AA7+F26+Q26+AA26</f>
        <v>26350930.39</v>
      </c>
      <c r="G45" s="227">
        <f t="shared" si="16"/>
        <v>-0.005688416467738988</v>
      </c>
      <c r="H45" s="227">
        <f>SUM(F$43:F45)/SUM(B$43:B45)-1</f>
        <v>0.013699142308072565</v>
      </c>
      <c r="I45" s="298">
        <f t="shared" si="17"/>
        <v>33300367</v>
      </c>
      <c r="J45" s="227">
        <f t="shared" si="18"/>
        <v>0.2637264228301124</v>
      </c>
      <c r="K45" s="229">
        <f>SUM(I$43:I45)/SUM(F$43:F45)-1</f>
        <v>0.145424851674393</v>
      </c>
      <c r="L45" s="216"/>
      <c r="M45" s="216"/>
      <c r="N45" s="224">
        <v>26350930.39</v>
      </c>
      <c r="O45" s="224">
        <f t="shared" si="19"/>
        <v>0</v>
      </c>
      <c r="P45" s="241"/>
      <c r="Q45" s="224"/>
      <c r="R45" s="227"/>
      <c r="S45" s="227"/>
      <c r="T45" s="224"/>
      <c r="U45" s="227"/>
      <c r="V45" s="227"/>
      <c r="W45" s="216"/>
      <c r="X45" s="241"/>
      <c r="Y45" s="241"/>
      <c r="Z45" s="241"/>
      <c r="AA45" s="224"/>
      <c r="AB45" s="227"/>
      <c r="AC45" s="216"/>
      <c r="AD45" s="224"/>
      <c r="AE45" s="227"/>
      <c r="AF45" s="227"/>
    </row>
    <row r="46" spans="1:32" ht="12.75">
      <c r="A46" s="152" t="s">
        <v>9</v>
      </c>
      <c r="B46" s="224">
        <v>29927688</v>
      </c>
      <c r="C46" s="216"/>
      <c r="D46" s="216"/>
      <c r="E46" s="215" t="s">
        <v>9</v>
      </c>
      <c r="F46" s="226">
        <f t="shared" si="20"/>
        <v>27833838.33</v>
      </c>
      <c r="G46" s="227">
        <f t="shared" si="16"/>
        <v>-0.06996362933214229</v>
      </c>
      <c r="H46" s="227">
        <f>SUM(F$43:F46)/SUM(B$43:B46)-1</f>
        <v>-0.00860192356825129</v>
      </c>
      <c r="I46" s="298">
        <f t="shared" si="17"/>
        <v>31590657</v>
      </c>
      <c r="J46" s="227">
        <f t="shared" si="18"/>
        <v>0.13497307218138177</v>
      </c>
      <c r="K46" s="229">
        <f>SUM(I$43:I46)/SUM(F$43:F46)-1</f>
        <v>0.14281127363766632</v>
      </c>
      <c r="L46" s="216"/>
      <c r="M46" s="216"/>
      <c r="N46" s="224">
        <v>27833839.33</v>
      </c>
      <c r="O46" s="224">
        <f t="shared" si="19"/>
        <v>1</v>
      </c>
      <c r="P46" s="241"/>
      <c r="Q46" s="224"/>
      <c r="R46" s="227"/>
      <c r="S46" s="227"/>
      <c r="T46" s="224"/>
      <c r="U46" s="227"/>
      <c r="V46" s="227"/>
      <c r="W46" s="216"/>
      <c r="X46" s="241"/>
      <c r="Y46" s="241"/>
      <c r="Z46" s="241"/>
      <c r="AA46" s="224"/>
      <c r="AB46" s="227"/>
      <c r="AC46" s="216"/>
      <c r="AD46" s="224"/>
      <c r="AE46" s="227"/>
      <c r="AF46" s="227"/>
    </row>
    <row r="47" spans="1:32" ht="12.75">
      <c r="A47" s="152" t="s">
        <v>10</v>
      </c>
      <c r="B47" s="224">
        <v>24061438</v>
      </c>
      <c r="C47" s="216"/>
      <c r="D47" s="216"/>
      <c r="E47" s="215" t="s">
        <v>10</v>
      </c>
      <c r="F47" s="226">
        <f t="shared" si="20"/>
        <v>26772007.8</v>
      </c>
      <c r="G47" s="227">
        <f t="shared" si="16"/>
        <v>0.11265202852797085</v>
      </c>
      <c r="H47" s="227">
        <f>SUM(F$43:F47)/SUM(B$43:B47)-1</f>
        <v>0.012797803285309328</v>
      </c>
      <c r="I47" s="298">
        <f t="shared" si="17"/>
        <v>33041706</v>
      </c>
      <c r="J47" s="227">
        <f t="shared" si="18"/>
        <v>0.23418856915169428</v>
      </c>
      <c r="K47" s="229">
        <f>SUM(I$43:I47)/SUM(F$43:F47)-1</f>
        <v>0.16052815352328698</v>
      </c>
      <c r="L47" s="216"/>
      <c r="M47" s="216"/>
      <c r="N47" s="224">
        <v>26772008.8</v>
      </c>
      <c r="O47" s="224">
        <f t="shared" si="19"/>
        <v>1</v>
      </c>
      <c r="P47" s="241"/>
      <c r="Q47" s="224"/>
      <c r="R47" s="227"/>
      <c r="S47" s="227"/>
      <c r="T47" s="224"/>
      <c r="U47" s="227"/>
      <c r="V47" s="227"/>
      <c r="W47" s="216"/>
      <c r="X47" s="241"/>
      <c r="Y47" s="241"/>
      <c r="Z47" s="241"/>
      <c r="AA47" s="224"/>
      <c r="AB47" s="227"/>
      <c r="AC47" s="216"/>
      <c r="AD47" s="224"/>
      <c r="AE47" s="227"/>
      <c r="AF47" s="227"/>
    </row>
    <row r="48" spans="1:32" ht="12.75">
      <c r="A48" s="152" t="s">
        <v>11</v>
      </c>
      <c r="B48" s="224">
        <v>25399694</v>
      </c>
      <c r="C48" s="216"/>
      <c r="D48" s="216"/>
      <c r="E48" s="215" t="s">
        <v>11</v>
      </c>
      <c r="F48" s="226">
        <f t="shared" si="20"/>
        <v>26615025.48</v>
      </c>
      <c r="G48" s="227">
        <f t="shared" si="16"/>
        <v>0.04784827250281043</v>
      </c>
      <c r="H48" s="227">
        <f>SUM(F$43:F48)/SUM(B$43:B48)-1</f>
        <v>0.01830229899057212</v>
      </c>
      <c r="I48" s="298">
        <f t="shared" si="17"/>
        <v>31432913</v>
      </c>
      <c r="J48" s="227">
        <f t="shared" si="18"/>
        <v>0.18102133787624686</v>
      </c>
      <c r="K48" s="229">
        <f>SUM(I$43:I48)/SUM(F$43:F48)-1</f>
        <v>0.16383988278491413</v>
      </c>
      <c r="L48" s="216"/>
      <c r="M48" s="216"/>
      <c r="N48" s="224">
        <v>26615025.48</v>
      </c>
      <c r="O48" s="224">
        <f t="shared" si="19"/>
        <v>0</v>
      </c>
      <c r="P48" s="241"/>
      <c r="Q48" s="224"/>
      <c r="R48" s="227"/>
      <c r="S48" s="227"/>
      <c r="T48" s="224"/>
      <c r="U48" s="227"/>
      <c r="V48" s="227"/>
      <c r="W48" s="216"/>
      <c r="X48" s="241"/>
      <c r="Y48" s="241"/>
      <c r="Z48" s="241"/>
      <c r="AA48" s="224"/>
      <c r="AB48" s="227"/>
      <c r="AC48" s="216"/>
      <c r="AD48" s="224"/>
      <c r="AE48" s="227"/>
      <c r="AF48" s="227"/>
    </row>
    <row r="49" spans="1:32" ht="12.75">
      <c r="A49" s="152" t="s">
        <v>12</v>
      </c>
      <c r="B49" s="224">
        <v>30193025</v>
      </c>
      <c r="C49" s="216"/>
      <c r="D49" s="216"/>
      <c r="E49" s="215" t="s">
        <v>12</v>
      </c>
      <c r="F49" s="226">
        <f t="shared" si="20"/>
        <v>30669854.91</v>
      </c>
      <c r="G49" s="227">
        <f t="shared" si="16"/>
        <v>0.015792717357734132</v>
      </c>
      <c r="H49" s="227">
        <f>SUM(F$43:F49)/SUM(B$43:B49)-1</f>
        <v>0.017907506475646873</v>
      </c>
      <c r="I49" s="298">
        <f aca="true" t="shared" si="21" ref="I49:I54">+I11+T11+AD11+I30+T30+AD30</f>
        <v>35983933</v>
      </c>
      <c r="J49" s="227">
        <f aca="true" t="shared" si="22" ref="J49:J54">+I49/F49-1</f>
        <v>0.17326714148449818</v>
      </c>
      <c r="K49" s="229">
        <f>SUM(I$43:I49)/SUM(F$43:F49)-1</f>
        <v>0.16531984213116857</v>
      </c>
      <c r="L49" s="216"/>
      <c r="M49" s="216"/>
      <c r="N49" s="224">
        <v>30669855.909999996</v>
      </c>
      <c r="O49" s="224">
        <f t="shared" si="19"/>
        <v>0.9999999962747097</v>
      </c>
      <c r="P49" s="241"/>
      <c r="Q49" s="224"/>
      <c r="R49" s="227"/>
      <c r="S49" s="227"/>
      <c r="T49" s="224"/>
      <c r="U49" s="227"/>
      <c r="V49" s="227"/>
      <c r="W49" s="216"/>
      <c r="X49" s="241"/>
      <c r="Y49" s="241"/>
      <c r="Z49" s="241"/>
      <c r="AA49" s="224"/>
      <c r="AB49" s="227"/>
      <c r="AC49" s="216"/>
      <c r="AD49" s="224"/>
      <c r="AE49" s="227"/>
      <c r="AF49" s="227"/>
    </row>
    <row r="50" spans="1:32" ht="12.75">
      <c r="A50" s="152" t="s">
        <v>13</v>
      </c>
      <c r="B50" s="224">
        <v>25405772</v>
      </c>
      <c r="C50" s="216"/>
      <c r="D50" s="216"/>
      <c r="E50" s="215" t="s">
        <v>13</v>
      </c>
      <c r="F50" s="226">
        <f t="shared" si="20"/>
        <v>26273683.17</v>
      </c>
      <c r="G50" s="227">
        <f t="shared" si="16"/>
        <v>0.034161967996878984</v>
      </c>
      <c r="H50" s="227">
        <f>SUM(F$43:F50)/SUM(B$43:B50)-1</f>
        <v>0.019807609468195375</v>
      </c>
      <c r="I50" s="298">
        <f t="shared" si="21"/>
        <v>31340495</v>
      </c>
      <c r="J50" s="227">
        <f t="shared" si="22"/>
        <v>0.19284741302602826</v>
      </c>
      <c r="K50" s="229">
        <f>SUM(I$43:I50)/SUM(F$43:F50)-1</f>
        <v>0.1685830351189137</v>
      </c>
      <c r="L50" s="216"/>
      <c r="M50" s="216"/>
      <c r="N50" s="224">
        <v>26273683.17</v>
      </c>
      <c r="O50" s="224">
        <f t="shared" si="19"/>
        <v>0</v>
      </c>
      <c r="P50" s="241"/>
      <c r="Q50" s="224"/>
      <c r="R50" s="227"/>
      <c r="S50" s="227"/>
      <c r="T50" s="224"/>
      <c r="U50" s="227"/>
      <c r="V50" s="227"/>
      <c r="W50" s="216"/>
      <c r="X50" s="241"/>
      <c r="Y50" s="241"/>
      <c r="Z50" s="241"/>
      <c r="AA50" s="224"/>
      <c r="AB50" s="227"/>
      <c r="AC50" s="216"/>
      <c r="AD50" s="224"/>
      <c r="AE50" s="227"/>
      <c r="AF50" s="227"/>
    </row>
    <row r="51" spans="1:32" ht="12.75">
      <c r="A51" s="152" t="s">
        <v>14</v>
      </c>
      <c r="B51" s="224">
        <v>25194191</v>
      </c>
      <c r="C51" s="216"/>
      <c r="D51" s="216"/>
      <c r="E51" s="215" t="s">
        <v>14</v>
      </c>
      <c r="F51" s="226">
        <f t="shared" si="20"/>
        <v>24928596.06</v>
      </c>
      <c r="G51" s="227">
        <f t="shared" si="16"/>
        <v>-0.010541911824039185</v>
      </c>
      <c r="H51" s="227">
        <f>SUM(F$43:F51)/SUM(B$43:B51)-1</f>
        <v>0.01665485692338331</v>
      </c>
      <c r="I51" s="298">
        <f t="shared" si="21"/>
        <v>30501634</v>
      </c>
      <c r="J51" s="227">
        <f t="shared" si="22"/>
        <v>0.22356004030818255</v>
      </c>
      <c r="K51" s="229">
        <f>SUM(I$43:I51)/SUM(F$43:F51)-1</f>
        <v>0.17414134788986213</v>
      </c>
      <c r="L51" s="216"/>
      <c r="M51" s="216"/>
      <c r="N51" s="224">
        <v>24928595.06</v>
      </c>
      <c r="O51" s="224">
        <f t="shared" si="19"/>
        <v>-1</v>
      </c>
      <c r="P51" s="241"/>
      <c r="Q51" s="224"/>
      <c r="R51" s="227"/>
      <c r="S51" s="227"/>
      <c r="T51" s="224"/>
      <c r="U51" s="227"/>
      <c r="V51" s="227"/>
      <c r="W51" s="216"/>
      <c r="X51" s="241"/>
      <c r="Y51" s="241"/>
      <c r="Z51" s="241"/>
      <c r="AA51" s="224"/>
      <c r="AB51" s="227"/>
      <c r="AC51" s="216"/>
      <c r="AD51" s="224"/>
      <c r="AE51" s="227"/>
      <c r="AF51" s="227"/>
    </row>
    <row r="52" spans="1:32" ht="12.75">
      <c r="A52" s="152" t="s">
        <v>15</v>
      </c>
      <c r="B52" s="224">
        <v>27916022</v>
      </c>
      <c r="C52" s="216"/>
      <c r="D52" s="216"/>
      <c r="E52" s="215" t="s">
        <v>15</v>
      </c>
      <c r="F52" s="226">
        <f t="shared" si="20"/>
        <v>29844599.69</v>
      </c>
      <c r="G52" s="227">
        <f t="shared" si="16"/>
        <v>0.0690849752876681</v>
      </c>
      <c r="H52" s="227">
        <f>SUM(F$43:F52)/SUM(B$43:B52)-1</f>
        <v>0.022066841402094584</v>
      </c>
      <c r="I52" s="298">
        <f t="shared" si="21"/>
        <v>34461436</v>
      </c>
      <c r="J52" s="227">
        <f t="shared" si="22"/>
        <v>0.15469586987112294</v>
      </c>
      <c r="K52" s="229">
        <f>SUM(I$43:I52)/SUM(F$43:F52)-1</f>
        <v>0.17204179289349786</v>
      </c>
      <c r="L52" s="216"/>
      <c r="M52" s="216"/>
      <c r="N52" s="224">
        <v>29844599.69</v>
      </c>
      <c r="O52" s="224">
        <f t="shared" si="19"/>
        <v>0</v>
      </c>
      <c r="P52" s="241"/>
      <c r="Q52" s="224"/>
      <c r="R52" s="227"/>
      <c r="S52" s="227"/>
      <c r="T52" s="224"/>
      <c r="U52" s="227"/>
      <c r="V52" s="227"/>
      <c r="W52" s="216"/>
      <c r="X52" s="241"/>
      <c r="Y52" s="241"/>
      <c r="Z52" s="241"/>
      <c r="AA52" s="224"/>
      <c r="AB52" s="227"/>
      <c r="AC52" s="216"/>
      <c r="AD52" s="224"/>
      <c r="AE52" s="227"/>
      <c r="AF52" s="227"/>
    </row>
    <row r="53" spans="1:32" ht="12.75">
      <c r="A53" s="152" t="s">
        <v>16</v>
      </c>
      <c r="B53" s="224">
        <v>25647275</v>
      </c>
      <c r="C53" s="216"/>
      <c r="D53" s="216"/>
      <c r="E53" s="215" t="s">
        <v>16</v>
      </c>
      <c r="F53" s="226">
        <f t="shared" si="20"/>
        <v>27270523.65</v>
      </c>
      <c r="G53" s="227">
        <f t="shared" si="16"/>
        <v>0.06329127168480864</v>
      </c>
      <c r="H53" s="227">
        <f>SUM(F$43:F53)/SUM(B$43:B53)-1</f>
        <v>0.025637676914356478</v>
      </c>
      <c r="I53" s="298">
        <f t="shared" si="21"/>
        <v>33354555</v>
      </c>
      <c r="J53" s="227">
        <f t="shared" si="22"/>
        <v>0.22309917580185523</v>
      </c>
      <c r="K53" s="229">
        <f>SUM(I$43:I53)/SUM(F$43:F53)-1</f>
        <v>0.17662671556512932</v>
      </c>
      <c r="L53" s="216"/>
      <c r="M53" s="216"/>
      <c r="N53" s="224">
        <v>27270522.65</v>
      </c>
      <c r="O53" s="224">
        <f t="shared" si="19"/>
        <v>-1</v>
      </c>
      <c r="P53" s="241"/>
      <c r="Q53" s="224"/>
      <c r="R53" s="227"/>
      <c r="S53" s="227"/>
      <c r="T53" s="224"/>
      <c r="U53" s="227"/>
      <c r="V53" s="227"/>
      <c r="W53" s="216"/>
      <c r="X53" s="241"/>
      <c r="Y53" s="241"/>
      <c r="Z53" s="241"/>
      <c r="AA53" s="224"/>
      <c r="AB53" s="227"/>
      <c r="AC53" s="216"/>
      <c r="AD53" s="224"/>
      <c r="AE53" s="227"/>
      <c r="AF53" s="227"/>
    </row>
    <row r="54" spans="1:32" ht="12.75">
      <c r="A54" s="239" t="s">
        <v>17</v>
      </c>
      <c r="B54" s="224">
        <v>26732151.08</v>
      </c>
      <c r="C54" s="216"/>
      <c r="D54" s="216"/>
      <c r="E54" s="215" t="s">
        <v>17</v>
      </c>
      <c r="F54" s="231">
        <f t="shared" si="20"/>
        <v>34565269.44</v>
      </c>
      <c r="G54" s="232">
        <f t="shared" si="16"/>
        <v>0.2930223735665045</v>
      </c>
      <c r="H54" s="233">
        <f>SUM(F$43:F54)/SUM(B$43:B54)-1</f>
        <v>0.04777907358492861</v>
      </c>
      <c r="I54" s="299">
        <f t="shared" si="21"/>
        <v>33341807.69951111</v>
      </c>
      <c r="J54" s="232">
        <f t="shared" si="22"/>
        <v>-0.03539569516773555</v>
      </c>
      <c r="K54" s="234">
        <f>SUM(I$43:I54)/SUM(F$43:F54)-1</f>
        <v>0.15496032575119512</v>
      </c>
      <c r="L54" s="216"/>
      <c r="M54" s="216"/>
      <c r="N54" s="224">
        <v>34565270.01</v>
      </c>
      <c r="O54" s="224">
        <f>+N54-F54</f>
        <v>0.5700000002980232</v>
      </c>
      <c r="P54" s="241"/>
      <c r="Q54" s="224"/>
      <c r="R54" s="227"/>
      <c r="S54" s="227"/>
      <c r="T54" s="224"/>
      <c r="U54" s="227"/>
      <c r="V54" s="227"/>
      <c r="W54" s="216"/>
      <c r="X54" s="241"/>
      <c r="Y54" s="241"/>
      <c r="Z54" s="241"/>
      <c r="AA54" s="224"/>
      <c r="AB54" s="227"/>
      <c r="AC54" s="216"/>
      <c r="AD54" s="224"/>
      <c r="AE54" s="227"/>
      <c r="AF54" s="227"/>
    </row>
    <row r="55" spans="1:32" ht="12.75">
      <c r="A55" s="216"/>
      <c r="B55" s="216"/>
      <c r="C55" s="216"/>
      <c r="D55" s="216"/>
      <c r="E55" s="215"/>
      <c r="F55" s="146"/>
      <c r="G55" s="216"/>
      <c r="H55" s="216"/>
      <c r="I55" s="226"/>
      <c r="J55" s="216"/>
      <c r="K55" s="235"/>
      <c r="L55" s="216"/>
      <c r="M55" s="216"/>
      <c r="N55" s="241"/>
      <c r="O55" s="241"/>
      <c r="P55" s="241"/>
      <c r="Q55" s="224"/>
      <c r="R55" s="227"/>
      <c r="S55" s="227"/>
      <c r="T55" s="224"/>
      <c r="U55" s="227"/>
      <c r="V55" s="227"/>
      <c r="W55" s="216"/>
      <c r="X55" s="241"/>
      <c r="Y55" s="241"/>
      <c r="Z55" s="241"/>
      <c r="AA55" s="224"/>
      <c r="AB55" s="227"/>
      <c r="AC55" s="216"/>
      <c r="AD55" s="224"/>
      <c r="AE55" s="227"/>
      <c r="AF55" s="227"/>
    </row>
    <row r="56" spans="1:32" ht="13.5" thickBot="1">
      <c r="A56" s="244" t="s">
        <v>202</v>
      </c>
      <c r="B56" s="248">
        <v>322823723.08</v>
      </c>
      <c r="C56" s="248"/>
      <c r="D56" s="248"/>
      <c r="E56" s="314" t="s">
        <v>202</v>
      </c>
      <c r="F56" s="242">
        <f>SUM(F43:F54)</f>
        <v>338247941.49999994</v>
      </c>
      <c r="G56" s="243">
        <f>+F56/B56-1</f>
        <v>0.04777907358492861</v>
      </c>
      <c r="H56" s="244"/>
      <c r="I56" s="242">
        <f>SUM(I43:I54)</f>
        <v>390662952.6995111</v>
      </c>
      <c r="J56" s="243"/>
      <c r="K56" s="249"/>
      <c r="L56" s="216"/>
      <c r="M56" s="216"/>
      <c r="N56" s="241"/>
      <c r="O56" s="241"/>
      <c r="P56" s="241"/>
      <c r="Q56" s="224"/>
      <c r="R56" s="227"/>
      <c r="S56" s="227"/>
      <c r="T56" s="224"/>
      <c r="U56" s="227"/>
      <c r="V56" s="227"/>
      <c r="W56" s="216"/>
      <c r="X56" s="241"/>
      <c r="Y56" s="241"/>
      <c r="Z56" s="241"/>
      <c r="AA56" s="224"/>
      <c r="AB56" s="227"/>
      <c r="AC56" s="216"/>
      <c r="AD56" s="224"/>
      <c r="AE56" s="227"/>
      <c r="AF56" s="227"/>
    </row>
    <row r="57" spans="1:32" ht="12.75">
      <c r="A57" s="213"/>
      <c r="B57" s="213"/>
      <c r="C57" s="213"/>
      <c r="D57" s="213"/>
      <c r="E57" s="170"/>
      <c r="F57" s="224"/>
      <c r="G57" s="227"/>
      <c r="H57" s="216"/>
      <c r="I57" s="224"/>
      <c r="J57" s="259"/>
      <c r="K57" s="227"/>
      <c r="L57" s="216"/>
      <c r="M57" s="216"/>
      <c r="N57" s="241"/>
      <c r="O57" s="241"/>
      <c r="P57" s="241"/>
      <c r="Q57" s="224"/>
      <c r="R57" s="227"/>
      <c r="S57" s="227"/>
      <c r="T57" s="224"/>
      <c r="U57" s="227"/>
      <c r="V57" s="227"/>
      <c r="W57" s="216"/>
      <c r="X57" s="241"/>
      <c r="Y57" s="241"/>
      <c r="Z57" s="241"/>
      <c r="AA57" s="224"/>
      <c r="AB57" s="227"/>
      <c r="AC57" s="216"/>
      <c r="AD57" s="224"/>
      <c r="AE57" s="227"/>
      <c r="AF57" s="227"/>
    </row>
    <row r="58" spans="1:32" ht="12.75">
      <c r="A58" s="213"/>
      <c r="B58" s="213"/>
      <c r="C58" s="213"/>
      <c r="D58" s="213"/>
      <c r="E58" s="170"/>
      <c r="F58" s="224"/>
      <c r="G58" s="227"/>
      <c r="H58" s="216"/>
      <c r="I58" s="224"/>
      <c r="J58" s="259"/>
      <c r="K58" s="227"/>
      <c r="L58" s="216"/>
      <c r="M58" s="216"/>
      <c r="N58" s="241"/>
      <c r="O58" s="241"/>
      <c r="P58" s="241"/>
      <c r="Q58" s="224"/>
      <c r="R58" s="227"/>
      <c r="S58" s="227"/>
      <c r="T58" s="224"/>
      <c r="U58" s="227"/>
      <c r="V58" s="227"/>
      <c r="W58" s="216"/>
      <c r="X58" s="241"/>
      <c r="Y58" s="241"/>
      <c r="Z58" s="241"/>
      <c r="AA58" s="224"/>
      <c r="AB58" s="227"/>
      <c r="AC58" s="216"/>
      <c r="AD58" s="224"/>
      <c r="AE58" s="227"/>
      <c r="AF58" s="227"/>
    </row>
    <row r="59" spans="1:32" ht="12.75">
      <c r="A59" s="213"/>
      <c r="B59" s="213"/>
      <c r="C59" s="213"/>
      <c r="D59" s="213"/>
      <c r="E59" s="170"/>
      <c r="F59" s="224"/>
      <c r="G59" s="227"/>
      <c r="H59" s="216"/>
      <c r="I59" s="224"/>
      <c r="J59" s="259"/>
      <c r="K59" s="227"/>
      <c r="L59" s="216"/>
      <c r="M59" s="216"/>
      <c r="N59" s="241"/>
      <c r="O59" s="241"/>
      <c r="P59" s="241"/>
      <c r="Q59" s="224"/>
      <c r="R59" s="227"/>
      <c r="S59" s="227"/>
      <c r="T59" s="224"/>
      <c r="U59" s="227"/>
      <c r="V59" s="227"/>
      <c r="W59" s="216"/>
      <c r="X59" s="241"/>
      <c r="Y59" s="241"/>
      <c r="Z59" s="241"/>
      <c r="AA59" s="224"/>
      <c r="AB59" s="227"/>
      <c r="AC59" s="216"/>
      <c r="AD59" s="224"/>
      <c r="AE59" s="227"/>
      <c r="AF59" s="227"/>
    </row>
    <row r="60" spans="1:32" ht="12.75">
      <c r="A60" s="213"/>
      <c r="B60" s="213"/>
      <c r="C60" s="213"/>
      <c r="D60" s="213"/>
      <c r="E60" s="170"/>
      <c r="F60" s="224"/>
      <c r="G60" s="227"/>
      <c r="H60" s="216"/>
      <c r="I60" s="224"/>
      <c r="J60" s="259"/>
      <c r="K60" s="227"/>
      <c r="L60" s="216"/>
      <c r="M60" s="216"/>
      <c r="N60" s="241"/>
      <c r="O60" s="241"/>
      <c r="P60" s="241"/>
      <c r="Q60" s="224"/>
      <c r="R60" s="227"/>
      <c r="S60" s="227"/>
      <c r="T60" s="224"/>
      <c r="U60" s="227"/>
      <c r="V60" s="227"/>
      <c r="W60" s="216"/>
      <c r="X60" s="241"/>
      <c r="Y60" s="241"/>
      <c r="Z60" s="241"/>
      <c r="AA60" s="224"/>
      <c r="AB60" s="227"/>
      <c r="AC60" s="216"/>
      <c r="AD60" s="224"/>
      <c r="AE60" s="227"/>
      <c r="AF60" s="227"/>
    </row>
    <row r="61" ht="13.5" thickBot="1"/>
    <row r="62" spans="5:35" ht="18">
      <c r="E62" s="286"/>
      <c r="F62" s="326" t="s">
        <v>206</v>
      </c>
      <c r="G62" s="326"/>
      <c r="H62" s="326"/>
      <c r="I62" s="326"/>
      <c r="J62" s="326"/>
      <c r="K62" s="326"/>
      <c r="L62" s="287"/>
      <c r="M62" s="275"/>
      <c r="N62" s="275"/>
      <c r="O62" s="275"/>
      <c r="P62" s="339" t="s">
        <v>222</v>
      </c>
      <c r="Q62" s="326"/>
      <c r="R62" s="326"/>
      <c r="S62" s="326"/>
      <c r="T62" s="326"/>
      <c r="U62" s="326"/>
      <c r="V62" s="327"/>
      <c r="AH62" s="218"/>
      <c r="AI62"/>
    </row>
    <row r="63" spans="5:35" ht="13.5" thickBot="1">
      <c r="E63" s="252"/>
      <c r="F63" s="343" t="s">
        <v>207</v>
      </c>
      <c r="G63" s="343"/>
      <c r="H63" s="343"/>
      <c r="I63" s="343"/>
      <c r="J63" s="343"/>
      <c r="K63" s="343"/>
      <c r="L63" s="217"/>
      <c r="M63" s="244"/>
      <c r="N63" s="244"/>
      <c r="O63" s="244"/>
      <c r="P63" s="254"/>
      <c r="Q63" s="340" t="s">
        <v>223</v>
      </c>
      <c r="R63" s="341"/>
      <c r="S63" s="341"/>
      <c r="T63" s="341"/>
      <c r="U63" s="341"/>
      <c r="V63" s="342"/>
      <c r="Z63" s="213"/>
      <c r="AG63" s="240"/>
      <c r="AH63" s="218"/>
      <c r="AI63"/>
    </row>
    <row r="64" spans="5:35" ht="25.5">
      <c r="E64" s="251" t="s">
        <v>29</v>
      </c>
      <c r="F64" s="152" t="s">
        <v>231</v>
      </c>
      <c r="G64" s="152" t="s">
        <v>200</v>
      </c>
      <c r="H64" s="283" t="s">
        <v>201</v>
      </c>
      <c r="I64" s="261" t="s">
        <v>242</v>
      </c>
      <c r="J64" s="262" t="s">
        <v>200</v>
      </c>
      <c r="K64" s="263" t="s">
        <v>201</v>
      </c>
      <c r="L64" s="267" t="s">
        <v>29</v>
      </c>
      <c r="M64" s="216"/>
      <c r="N64" s="216"/>
      <c r="O64" s="216"/>
      <c r="P64" s="251" t="s">
        <v>29</v>
      </c>
      <c r="Q64" s="261" t="s">
        <v>231</v>
      </c>
      <c r="R64" s="262" t="s">
        <v>200</v>
      </c>
      <c r="S64" s="274" t="s">
        <v>201</v>
      </c>
      <c r="T64" s="261" t="s">
        <v>242</v>
      </c>
      <c r="U64" s="262" t="s">
        <v>200</v>
      </c>
      <c r="V64" s="284" t="s">
        <v>201</v>
      </c>
      <c r="AH64" s="218"/>
      <c r="AI64"/>
    </row>
    <row r="65" spans="1:35" ht="12.75">
      <c r="A65" s="222">
        <f>+'.25% Dist'!D33</f>
        <v>3362943</v>
      </c>
      <c r="E65" s="250" t="s">
        <v>6</v>
      </c>
      <c r="F65" s="222">
        <f>+'.25% Dist'!F33</f>
        <v>3556342</v>
      </c>
      <c r="G65" s="258">
        <f aca="true" t="shared" si="23" ref="G65:G76">+F65/A65-1</f>
        <v>0.05750885459551358</v>
      </c>
      <c r="H65" s="258">
        <f>+F65/A65-1</f>
        <v>0.05750885459551358</v>
      </c>
      <c r="I65" s="226">
        <f>+'.25% Dist'!H33</f>
        <v>3515999</v>
      </c>
      <c r="J65" s="227">
        <f aca="true" t="shared" si="24" ref="J65:J70">+I65/F65-1</f>
        <v>-0.011343959607934218</v>
      </c>
      <c r="K65" s="228">
        <f>SUM(I$65:I65)/SUM(F$65:F65)-1</f>
        <v>-0.011343959607934218</v>
      </c>
      <c r="L65" s="291" t="s">
        <v>6</v>
      </c>
      <c r="M65" s="216"/>
      <c r="N65" s="216"/>
      <c r="O65" s="216"/>
      <c r="P65" s="295" t="s">
        <v>6</v>
      </c>
      <c r="Q65" s="224">
        <f>+'.25% Dist'!F7</f>
        <v>1625979.05</v>
      </c>
      <c r="R65" s="216"/>
      <c r="S65" s="216"/>
      <c r="T65" s="226">
        <f>+'.25% Dist'!H7</f>
        <v>1583524</v>
      </c>
      <c r="U65" s="227">
        <f aca="true" t="shared" si="25" ref="U65:U70">+T65/Q65-1</f>
        <v>-0.02611045326814021</v>
      </c>
      <c r="V65" s="229">
        <f>SUM(T$65:T65)/SUM(Q$65:Q65)-1</f>
        <v>-0.02611045326814021</v>
      </c>
      <c r="AH65" s="218"/>
      <c r="AI65"/>
    </row>
    <row r="66" spans="1:35" ht="12.75">
      <c r="A66" s="224">
        <f>+'.25% Dist'!D34</f>
        <v>3119123</v>
      </c>
      <c r="E66" s="252" t="s">
        <v>7</v>
      </c>
      <c r="F66" s="224">
        <f>+'.25% Dist'!F34</f>
        <v>3155830</v>
      </c>
      <c r="G66" s="227">
        <f t="shared" si="23"/>
        <v>0.011768372071252031</v>
      </c>
      <c r="H66" s="227">
        <f>SUM(F$65:F66)/SUM(A$65:A66)-1</f>
        <v>0.035498867182160776</v>
      </c>
      <c r="I66" s="226">
        <f>+'.25% Dist'!H34</f>
        <v>3275876</v>
      </c>
      <c r="J66" s="227">
        <f t="shared" si="24"/>
        <v>0.038039438119290336</v>
      </c>
      <c r="K66" s="228">
        <f>SUM(I$65:I66)/SUM(F$65:F66)-1</f>
        <v>0.011874397735934128</v>
      </c>
      <c r="L66" s="267" t="s">
        <v>7</v>
      </c>
      <c r="M66" s="216"/>
      <c r="N66" s="216"/>
      <c r="O66" s="216"/>
      <c r="P66" s="215" t="s">
        <v>7</v>
      </c>
      <c r="Q66" s="224">
        <f>+'.25% Dist'!F8</f>
        <v>1433612.37</v>
      </c>
      <c r="R66" s="297">
        <f>+'.25% Dist'!G8</f>
        <v>0.014054442709884318</v>
      </c>
      <c r="S66" s="276" t="s">
        <v>221</v>
      </c>
      <c r="T66" s="226">
        <f>+'.25% Dist'!H8</f>
        <v>1490990</v>
      </c>
      <c r="U66" s="227">
        <f t="shared" si="25"/>
        <v>0.04002311308181583</v>
      </c>
      <c r="V66" s="229">
        <f>SUM(T$65:T66)/SUM(Q$65:Q66)-1</f>
        <v>0.00487731136335845</v>
      </c>
      <c r="AH66" s="218"/>
      <c r="AI66"/>
    </row>
    <row r="67" spans="1:35" ht="12.75">
      <c r="A67" s="224">
        <f>+'.25% Dist'!D35</f>
        <v>3161414</v>
      </c>
      <c r="E67" s="252" t="s">
        <v>8</v>
      </c>
      <c r="F67" s="224">
        <f>+'.25% Dist'!F35</f>
        <v>3094978</v>
      </c>
      <c r="G67" s="227">
        <f t="shared" si="23"/>
        <v>-0.021014647243290496</v>
      </c>
      <c r="H67" s="227">
        <f>SUM(F$65:F67)/SUM(A$65:A67)-1</f>
        <v>0.016972088913960626</v>
      </c>
      <c r="I67" s="226">
        <f>+'.25% Dist'!H35</f>
        <v>3382342</v>
      </c>
      <c r="J67" s="227">
        <f t="shared" si="24"/>
        <v>0.09284847905219351</v>
      </c>
      <c r="K67" s="228">
        <f>SUM(I$65:I67)/SUM(F$65:F67)-1</f>
        <v>0.03742850879205473</v>
      </c>
      <c r="L67" s="267" t="s">
        <v>8</v>
      </c>
      <c r="M67" s="216"/>
      <c r="N67" s="216"/>
      <c r="O67" s="216"/>
      <c r="P67" s="215" t="s">
        <v>8</v>
      </c>
      <c r="Q67" s="224">
        <f>+'.25% Dist'!F9</f>
        <v>1414126.61</v>
      </c>
      <c r="R67" s="297">
        <f>+'.25% Dist'!G9</f>
        <v>-0.019180714685517408</v>
      </c>
      <c r="S67" s="276" t="s">
        <v>221</v>
      </c>
      <c r="T67" s="226">
        <f>+'.25% Dist'!H9</f>
        <v>1550961</v>
      </c>
      <c r="U67" s="227">
        <f t="shared" si="25"/>
        <v>0.09676247447178721</v>
      </c>
      <c r="V67" s="229">
        <f>SUM(T$65:T67)/SUM(Q$65:Q67)-1</f>
        <v>0.03392188979777955</v>
      </c>
      <c r="AH67" s="218"/>
      <c r="AI67"/>
    </row>
    <row r="68" spans="1:35" ht="12.75">
      <c r="A68" s="224">
        <f>+'.25% Dist'!D36</f>
        <v>3760376</v>
      </c>
      <c r="E68" s="252" t="s">
        <v>9</v>
      </c>
      <c r="F68" s="224">
        <f>+'.25% Dist'!F36</f>
        <v>3269094</v>
      </c>
      <c r="G68" s="227">
        <f t="shared" si="23"/>
        <v>-0.1306470416788108</v>
      </c>
      <c r="H68" s="227">
        <f>SUM(F$65:F68)/SUM(A$65:A68)-1</f>
        <v>-0.02444162336569422</v>
      </c>
      <c r="I68" s="226">
        <f>+'.25% Dist'!H36</f>
        <v>3196808</v>
      </c>
      <c r="J68" s="227">
        <f t="shared" si="24"/>
        <v>-0.02211193682408641</v>
      </c>
      <c r="K68" s="228">
        <f>SUM(I$65:I68)/SUM(F$65:F68)-1</f>
        <v>0.022543247128150812</v>
      </c>
      <c r="L68" s="267" t="s">
        <v>9</v>
      </c>
      <c r="M68" s="216"/>
      <c r="N68" s="216"/>
      <c r="O68" s="216"/>
      <c r="P68" s="215" t="s">
        <v>9</v>
      </c>
      <c r="Q68" s="224">
        <f>+'.25% Dist'!F10</f>
        <v>1492397.67</v>
      </c>
      <c r="R68" s="297">
        <f>+'.25% Dist'!G10</f>
        <v>0.036685317862218625</v>
      </c>
      <c r="S68" s="276" t="s">
        <v>221</v>
      </c>
      <c r="T68" s="226">
        <f>+'.25% Dist'!H10</f>
        <v>1464038</v>
      </c>
      <c r="U68" s="227">
        <f t="shared" si="25"/>
        <v>-0.0190027568188309</v>
      </c>
      <c r="V68" s="229">
        <f>SUM(T$65:T68)/SUM(Q$65:Q68)-1</f>
        <v>0.02068302161823654</v>
      </c>
      <c r="AH68" s="218"/>
      <c r="AI68"/>
    </row>
    <row r="69" spans="1:35" ht="12.75">
      <c r="A69" s="224">
        <f>+'.25% Dist'!D37</f>
        <v>2677464</v>
      </c>
      <c r="E69" s="252" t="s">
        <v>10</v>
      </c>
      <c r="F69" s="224">
        <f>+'.25% Dist'!F37</f>
        <v>3149005</v>
      </c>
      <c r="G69" s="227">
        <f t="shared" si="23"/>
        <v>0.17611478623055254</v>
      </c>
      <c r="H69" s="227">
        <f>SUM(F$65:F69)/SUM(A$65:A69)-1</f>
        <v>0.008950073750164877</v>
      </c>
      <c r="I69" s="226">
        <f>+'.25% Dist'!H37</f>
        <v>3340348</v>
      </c>
      <c r="J69" s="227">
        <f t="shared" si="24"/>
        <v>0.06076300291679426</v>
      </c>
      <c r="K69" s="228">
        <f>SUM(I$65:I69)/SUM(F$65:F69)-1</f>
        <v>0.029960957764038065</v>
      </c>
      <c r="L69" s="267" t="s">
        <v>10</v>
      </c>
      <c r="M69" s="216"/>
      <c r="N69" s="216"/>
      <c r="O69" s="216"/>
      <c r="P69" s="215" t="s">
        <v>10</v>
      </c>
      <c r="Q69" s="224">
        <f>+'.25% Dist'!F11</f>
        <v>1430788.2</v>
      </c>
      <c r="R69" s="297">
        <f>+'.25% Dist'!G11</f>
        <v>0.010109081102374962</v>
      </c>
      <c r="S69" s="276" t="s">
        <v>221</v>
      </c>
      <c r="T69" s="226">
        <f>+'.25% Dist'!H11</f>
        <v>1539233</v>
      </c>
      <c r="U69" s="227">
        <f t="shared" si="25"/>
        <v>0.07579374780977366</v>
      </c>
      <c r="V69" s="229">
        <f>SUM(T$65:T69)/SUM(Q$65:Q69)-1</f>
        <v>0.031343127223810496</v>
      </c>
      <c r="AH69" s="218"/>
      <c r="AI69"/>
    </row>
    <row r="70" spans="1:35" ht="12.75">
      <c r="A70" s="224">
        <f>+'.25% Dist'!D38</f>
        <v>3033049</v>
      </c>
      <c r="E70" s="252" t="s">
        <v>11</v>
      </c>
      <c r="F70" s="224">
        <f>+'.25% Dist'!F38</f>
        <v>3123661</v>
      </c>
      <c r="G70" s="227">
        <f t="shared" si="23"/>
        <v>0.029874888272494182</v>
      </c>
      <c r="H70" s="227">
        <f>SUM(F$65:F70)/SUM(A$65:A70)-1</f>
        <v>0.01227040243912847</v>
      </c>
      <c r="I70" s="226">
        <f>+'.25% Dist'!H38</f>
        <v>3182829</v>
      </c>
      <c r="J70" s="227">
        <f t="shared" si="24"/>
        <v>0.018941876215120557</v>
      </c>
      <c r="K70" s="228">
        <f>SUM(I$65:I70)/SUM(F$65:F70)-1</f>
        <v>0.028182052632422128</v>
      </c>
      <c r="L70" s="267" t="s">
        <v>11</v>
      </c>
      <c r="M70" s="216"/>
      <c r="N70" s="216"/>
      <c r="O70" s="216"/>
      <c r="P70" s="215" t="s">
        <v>11</v>
      </c>
      <c r="Q70" s="224">
        <f>+'.25% Dist'!F12</f>
        <v>1425960.52</v>
      </c>
      <c r="R70" s="297">
        <f>+'.25% Dist'!G12</f>
        <v>0.052150415928198024</v>
      </c>
      <c r="S70" s="276" t="s">
        <v>221</v>
      </c>
      <c r="T70" s="226">
        <f>+'.25% Dist'!H12</f>
        <v>1455705</v>
      </c>
      <c r="U70" s="227">
        <f t="shared" si="25"/>
        <v>0.020859259132924635</v>
      </c>
      <c r="V70" s="229">
        <f>SUM(T$65:T70)/SUM(Q$65:Q70)-1</f>
        <v>0.029648713563706686</v>
      </c>
      <c r="AH70" s="218"/>
      <c r="AI70"/>
    </row>
    <row r="71" spans="1:35" ht="12.75">
      <c r="A71" s="224">
        <f>+'.25% Dist'!D39</f>
        <v>3633224</v>
      </c>
      <c r="E71" s="252" t="s">
        <v>12</v>
      </c>
      <c r="F71" s="224">
        <f>+'.25% Dist'!F39</f>
        <v>3603605</v>
      </c>
      <c r="G71" s="227">
        <f t="shared" si="23"/>
        <v>-0.008152263664447879</v>
      </c>
      <c r="H71" s="227">
        <f>SUM(F$65:F71)/SUM(A$65:A71)-1</f>
        <v>0.009008513560094134</v>
      </c>
      <c r="I71" s="226">
        <f>+'.25% Dist'!H39</f>
        <v>3654802</v>
      </c>
      <c r="J71" s="227">
        <f aca="true" t="shared" si="26" ref="J71:J76">+I71/F71-1</f>
        <v>0.014207161994724826</v>
      </c>
      <c r="K71" s="228">
        <f>SUM(I$65:I71)/SUM(F$65:F71)-1</f>
        <v>0.025987958182360327</v>
      </c>
      <c r="L71" s="267" t="s">
        <v>12</v>
      </c>
      <c r="M71" s="216"/>
      <c r="N71" s="216"/>
      <c r="O71" s="216"/>
      <c r="P71" s="215" t="s">
        <v>12</v>
      </c>
      <c r="Q71" s="224">
        <f>+'.25% Dist'!F13</f>
        <v>1620673.09</v>
      </c>
      <c r="R71" s="297">
        <f>+'.25% Dist'!G13</f>
        <v>0.10541489043885854</v>
      </c>
      <c r="S71" s="276" t="s">
        <v>221</v>
      </c>
      <c r="T71" s="226">
        <f>+'.25% Dist'!H13</f>
        <v>1661976</v>
      </c>
      <c r="U71" s="227">
        <f aca="true" t="shared" si="27" ref="U71:U76">+T71/Q71-1</f>
        <v>0.025485034739485934</v>
      </c>
      <c r="V71" s="229">
        <f>SUM(T$65:T71)/SUM(Q$65:Q71)-1</f>
        <v>0.02900257596719258</v>
      </c>
      <c r="AH71" s="218"/>
      <c r="AI71"/>
    </row>
    <row r="72" spans="1:35" ht="12.75">
      <c r="A72" s="224">
        <f>+'.25% Dist'!D40</f>
        <v>2978399</v>
      </c>
      <c r="E72" s="252" t="s">
        <v>13</v>
      </c>
      <c r="F72" s="224">
        <f>+'.25% Dist'!F40</f>
        <v>3081885</v>
      </c>
      <c r="G72" s="227">
        <f t="shared" si="23"/>
        <v>0.034745512605933504</v>
      </c>
      <c r="H72" s="227">
        <f>SUM(F$65:F72)/SUM(A$65:A72)-1</f>
        <v>0.011988186888964192</v>
      </c>
      <c r="I72" s="226">
        <f>+'.25% Dist'!H40</f>
        <v>3172178</v>
      </c>
      <c r="J72" s="227">
        <f t="shared" si="26"/>
        <v>0.02929797834766701</v>
      </c>
      <c r="K72" s="228">
        <f>SUM(I$65:I72)/SUM(F$65:F72)-1</f>
        <v>0.026379789816550314</v>
      </c>
      <c r="L72" s="267" t="s">
        <v>13</v>
      </c>
      <c r="M72" s="216"/>
      <c r="N72" s="216"/>
      <c r="O72" s="216"/>
      <c r="P72" s="215" t="s">
        <v>13</v>
      </c>
      <c r="Q72" s="224">
        <f>+'.25% Dist'!F14</f>
        <v>1412643.83</v>
      </c>
      <c r="R72" s="297">
        <f>+'.25% Dist'!G14</f>
        <v>0.05797314482233862</v>
      </c>
      <c r="S72" s="276" t="s">
        <v>221</v>
      </c>
      <c r="T72" s="226">
        <f>+'.25% Dist'!H14</f>
        <v>1446442</v>
      </c>
      <c r="U72" s="227">
        <f t="shared" si="27"/>
        <v>0.023925471716391478</v>
      </c>
      <c r="V72" s="229">
        <f>SUM(T$65:T72)/SUM(Q$65:Q72)-1</f>
        <v>0.028397647635844958</v>
      </c>
      <c r="AH72" s="218"/>
      <c r="AI72"/>
    </row>
    <row r="73" spans="1:35" ht="12.75">
      <c r="A73" s="224">
        <f>+'.25% Dist'!D41</f>
        <v>2900338</v>
      </c>
      <c r="E73" s="252" t="s">
        <v>14</v>
      </c>
      <c r="F73" s="224">
        <f>+'.25% Dist'!F41</f>
        <v>2914774</v>
      </c>
      <c r="G73" s="227">
        <f t="shared" si="23"/>
        <v>0.004977350915651879</v>
      </c>
      <c r="H73" s="227">
        <f>SUM(F$65:F73)/SUM(A$65:A73)-1</f>
        <v>0.011277869010802188</v>
      </c>
      <c r="I73" s="226">
        <f>+'.25% Dist'!H41</f>
        <v>3083829</v>
      </c>
      <c r="J73" s="227">
        <f t="shared" si="26"/>
        <v>0.057999350893070956</v>
      </c>
      <c r="K73" s="228">
        <f>SUM(I$65:I73)/SUM(F$65:F73)-1</f>
        <v>0.02956343417604934</v>
      </c>
      <c r="L73" s="267" t="s">
        <v>14</v>
      </c>
      <c r="M73" s="216"/>
      <c r="N73" s="216"/>
      <c r="O73" s="216"/>
      <c r="P73" s="215" t="s">
        <v>14</v>
      </c>
      <c r="Q73" s="224">
        <f>+'.25% Dist'!F15</f>
        <v>1322679.94</v>
      </c>
      <c r="R73" s="297">
        <f>+'.25% Dist'!G15</f>
        <v>0.016738301413246948</v>
      </c>
      <c r="S73" s="276" t="s">
        <v>221</v>
      </c>
      <c r="T73" s="226">
        <f>+'.25% Dist'!H15</f>
        <v>1410770</v>
      </c>
      <c r="U73" s="227">
        <f t="shared" si="27"/>
        <v>0.06659967943567668</v>
      </c>
      <c r="V73" s="229">
        <f>SUM(T$65:T73)/SUM(Q$65:Q73)-1</f>
        <v>0.03223174680840102</v>
      </c>
      <c r="AH73" s="218"/>
      <c r="AI73"/>
    </row>
    <row r="74" spans="1:35" ht="12.75">
      <c r="A74" s="224">
        <f>+'.25% Dist'!D42</f>
        <v>3286345</v>
      </c>
      <c r="E74" s="252" t="s">
        <v>15</v>
      </c>
      <c r="F74" s="224">
        <f>+'.25% Dist'!F42</f>
        <v>3503469</v>
      </c>
      <c r="G74" s="227">
        <f t="shared" si="23"/>
        <v>0.06606853510510913</v>
      </c>
      <c r="H74" s="227">
        <f>SUM(F$65:F74)/SUM(A$65:A74)-1</f>
        <v>0.016920173567399166</v>
      </c>
      <c r="I74" s="226">
        <f>+'.25% Dist'!H42</f>
        <v>3475447</v>
      </c>
      <c r="J74" s="227">
        <f t="shared" si="26"/>
        <v>-0.007998358198688216</v>
      </c>
      <c r="K74" s="228">
        <f>SUM(I$65:I74)/SUM(F$65:F74)-1</f>
        <v>0.025508400040021417</v>
      </c>
      <c r="L74" s="267" t="s">
        <v>15</v>
      </c>
      <c r="M74" s="216"/>
      <c r="N74" s="216"/>
      <c r="O74" s="216"/>
      <c r="P74" s="215" t="s">
        <v>15</v>
      </c>
      <c r="Q74" s="224">
        <f>+'.25% Dist'!F16</f>
        <v>1607312.31</v>
      </c>
      <c r="R74" s="297">
        <f>+'.25% Dist'!G16</f>
        <v>0.061478721718112306</v>
      </c>
      <c r="S74" s="276" t="s">
        <v>221</v>
      </c>
      <c r="T74" s="226">
        <f>+'.25% Dist'!H16</f>
        <v>1589394</v>
      </c>
      <c r="U74" s="227">
        <f t="shared" si="27"/>
        <v>-0.011147995251775344</v>
      </c>
      <c r="V74" s="229">
        <f>SUM(T$65:T74)/SUM(Q$65:Q74)-1</f>
        <v>0.027516206780851205</v>
      </c>
      <c r="AH74" s="218"/>
      <c r="AI74"/>
    </row>
    <row r="75" spans="1:35" ht="12.75">
      <c r="A75" s="224">
        <f>+'.25% Dist'!D43</f>
        <v>3038413</v>
      </c>
      <c r="E75" s="252" t="s">
        <v>16</v>
      </c>
      <c r="F75" s="224">
        <f>+'.25% Dist'!F43</f>
        <v>3203218</v>
      </c>
      <c r="G75" s="227">
        <f t="shared" si="23"/>
        <v>0.05424048672777526</v>
      </c>
      <c r="H75" s="227">
        <f>SUM(F$65:F75)/SUM(A$65:A75)-1</f>
        <v>0.020164551100669614</v>
      </c>
      <c r="I75" s="226">
        <f>+'.25% Dist'!H43</f>
        <v>3370115</v>
      </c>
      <c r="J75" s="227">
        <f t="shared" si="26"/>
        <v>0.05210291650459009</v>
      </c>
      <c r="K75" s="228">
        <f>SUM(I$65:I75)/SUM(F$65:F75)-1</f>
        <v>0.027897573417172472</v>
      </c>
      <c r="L75" s="267" t="s">
        <v>16</v>
      </c>
      <c r="M75" s="216"/>
      <c r="N75" s="216"/>
      <c r="O75" s="216"/>
      <c r="P75" s="215" t="s">
        <v>16</v>
      </c>
      <c r="Q75" s="224">
        <f>+'.25% Dist'!F17</f>
        <v>1436021.35</v>
      </c>
      <c r="R75" s="297">
        <f>+'.25% Dist'!G17</f>
        <v>0.03330290795609825</v>
      </c>
      <c r="S75" s="276" t="s">
        <v>221</v>
      </c>
      <c r="T75" s="226">
        <f>+'.25% Dist'!H17</f>
        <v>1585613</v>
      </c>
      <c r="U75" s="227">
        <f t="shared" si="27"/>
        <v>0.10417090943668761</v>
      </c>
      <c r="V75" s="229">
        <f>SUM(T$65:T75)/SUM(Q$65:Q75)-1</f>
        <v>0.03430183535940179</v>
      </c>
      <c r="AH75" s="218"/>
      <c r="AI75"/>
    </row>
    <row r="76" spans="1:35" ht="12.75">
      <c r="A76" s="237">
        <f>+'.25% Dist'!D44</f>
        <v>3202904</v>
      </c>
      <c r="E76" s="253" t="s">
        <v>17</v>
      </c>
      <c r="F76" s="237">
        <f>+'.25% Dist'!F44</f>
        <v>4063732</v>
      </c>
      <c r="G76" s="232">
        <f t="shared" si="23"/>
        <v>0.26876484590234373</v>
      </c>
      <c r="H76" s="232">
        <f>SUM(F$65:F76)/SUM(A$65:A76)-1</f>
        <v>0.041033740322637735</v>
      </c>
      <c r="I76" s="231">
        <f>+'.25% Dist'!H44</f>
        <v>3360526.880488889</v>
      </c>
      <c r="J76" s="232">
        <f t="shared" si="26"/>
        <v>-0.17304416716237958</v>
      </c>
      <c r="K76" s="233">
        <f>SUM(I$65:I76)/SUM(F$65:F76)-1</f>
        <v>0.007339120531494103</v>
      </c>
      <c r="L76" s="238" t="s">
        <v>17</v>
      </c>
      <c r="M76" s="236"/>
      <c r="N76" s="236"/>
      <c r="O76" s="236"/>
      <c r="P76" s="296" t="s">
        <v>17</v>
      </c>
      <c r="Q76" s="237">
        <f>+'.25% Dist'!F18</f>
        <v>1550909.99</v>
      </c>
      <c r="R76" s="305">
        <f>+'.25% Dist'!G18</f>
        <v>0.05790362627573109</v>
      </c>
      <c r="S76" s="293" t="s">
        <v>221</v>
      </c>
      <c r="T76" s="231">
        <f>+'.25% Dist'!H18</f>
        <v>1582644.59</v>
      </c>
      <c r="U76" s="232">
        <f t="shared" si="27"/>
        <v>0.02046192248719736</v>
      </c>
      <c r="V76" s="234">
        <f>SUM(T$65:T76)/SUM(Q$65:Q76)-1</f>
        <v>0.03309414209371919</v>
      </c>
      <c r="AH76" s="218"/>
      <c r="AI76"/>
    </row>
    <row r="77" spans="1:35" ht="12.75">
      <c r="A77" s="216"/>
      <c r="E77" s="252"/>
      <c r="F77" s="216"/>
      <c r="G77" s="216"/>
      <c r="H77" s="216"/>
      <c r="I77" s="226"/>
      <c r="J77" s="216"/>
      <c r="K77" s="147"/>
      <c r="L77" s="217"/>
      <c r="M77" s="216"/>
      <c r="N77" s="216"/>
      <c r="O77" s="216"/>
      <c r="P77" s="252"/>
      <c r="Q77" s="146"/>
      <c r="R77" s="216"/>
      <c r="S77" s="216"/>
      <c r="T77" s="226"/>
      <c r="U77" s="216"/>
      <c r="V77" s="235"/>
      <c r="AH77" s="218"/>
      <c r="AI77"/>
    </row>
    <row r="78" spans="1:35" ht="13.5" thickBot="1">
      <c r="A78" s="245">
        <f>SUM(A65:A76)</f>
        <v>38153992</v>
      </c>
      <c r="E78" s="254" t="s">
        <v>202</v>
      </c>
      <c r="F78" s="245">
        <f>SUM(F65:F76)</f>
        <v>39719593</v>
      </c>
      <c r="G78" s="243">
        <f>+F78/A78-1</f>
        <v>0.041033740322637735</v>
      </c>
      <c r="H78" s="244"/>
      <c r="I78" s="242">
        <f>SUM(I65:I76)</f>
        <v>40011099.88048889</v>
      </c>
      <c r="J78" s="243"/>
      <c r="K78" s="247"/>
      <c r="L78" s="288" t="s">
        <v>202</v>
      </c>
      <c r="M78" s="244"/>
      <c r="N78" s="244"/>
      <c r="O78" s="244"/>
      <c r="P78" s="254" t="s">
        <v>202</v>
      </c>
      <c r="Q78" s="242">
        <f>SUM(Q65:Q77)</f>
        <v>17773104.93</v>
      </c>
      <c r="R78" s="243"/>
      <c r="S78" s="244"/>
      <c r="T78" s="242">
        <f>SUM(T65:T76)</f>
        <v>18361290.59</v>
      </c>
      <c r="U78" s="243"/>
      <c r="V78" s="249"/>
      <c r="AH78" s="218"/>
      <c r="AI78"/>
    </row>
  </sheetData>
  <sheetProtection/>
  <mergeCells count="12">
    <mergeCell ref="E41:K41"/>
    <mergeCell ref="F62:K62"/>
    <mergeCell ref="P62:V62"/>
    <mergeCell ref="Q63:V63"/>
    <mergeCell ref="F63:K63"/>
    <mergeCell ref="F2:AF2"/>
    <mergeCell ref="F3:K3"/>
    <mergeCell ref="Q3:V3"/>
    <mergeCell ref="AA3:AF3"/>
    <mergeCell ref="F22:K22"/>
    <mergeCell ref="Q22:V22"/>
    <mergeCell ref="AA22:AF22"/>
  </mergeCells>
  <printOptions/>
  <pageMargins left="0.7" right="0.7" top="0.75" bottom="0.75" header="0.3" footer="0.3"/>
  <pageSetup fitToHeight="1" fitToWidth="1" horizontalDpi="600" verticalDpi="600" orientation="landscape" scale="47" r:id="rId2"/>
  <headerFooter>
    <oddHeader>&amp;C&amp;"Arial Black,Regular"&amp;14CITY OF ALBUQUERQUE GROSS RECEIPTS TAX DISTRIBUTIONS</oddHeader>
    <oddFooter>&amp;LAll values are net of Administrative fees
The monthly values represent the month GRT is collected by the Sate.
for instance June in the above tables represents May activity and was distributed to the City in July.</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J21" sqref="J21"/>
    </sheetView>
  </sheetViews>
  <sheetFormatPr defaultColWidth="8.875" defaultRowHeight="12.75"/>
  <cols>
    <col min="1" max="1" width="10.625" style="5" customWidth="1"/>
    <col min="2" max="2" width="12.00390625" style="5" customWidth="1"/>
    <col min="3" max="5" width="11.75390625" style="5" customWidth="1"/>
    <col min="6" max="6" width="12.00390625" style="5" customWidth="1"/>
    <col min="7" max="7" width="11.75390625" style="5" customWidth="1"/>
    <col min="8" max="8" width="12.00390625" style="5" customWidth="1"/>
    <col min="9" max="9" width="11.75390625" style="5" customWidth="1"/>
    <col min="10" max="10" width="12.00390625" style="5" customWidth="1"/>
    <col min="11" max="11" width="10.125" style="5" customWidth="1"/>
    <col min="12" max="14" width="10.875" style="5" bestFit="1" customWidth="1"/>
    <col min="15" max="16384" width="8.875" style="5" customWidth="1"/>
  </cols>
  <sheetData>
    <row r="1" spans="1:8" ht="15.75">
      <c r="A1" s="13" t="s">
        <v>0</v>
      </c>
      <c r="B1" s="14"/>
      <c r="C1" s="14"/>
      <c r="D1" s="14"/>
      <c r="E1" s="16"/>
      <c r="F1" s="14"/>
      <c r="G1" s="14"/>
      <c r="H1" s="16"/>
    </row>
    <row r="2" spans="1:8" ht="15.75">
      <c r="A2" s="13" t="s">
        <v>1</v>
      </c>
      <c r="B2" s="14"/>
      <c r="C2" s="14"/>
      <c r="D2" s="14"/>
      <c r="E2" s="13"/>
      <c r="F2" s="16"/>
      <c r="G2" s="14"/>
      <c r="H2" s="16"/>
    </row>
    <row r="3" spans="1:9" ht="12.75">
      <c r="A3" s="14"/>
      <c r="B3" s="14"/>
      <c r="C3" s="14"/>
      <c r="D3" s="14"/>
      <c r="E3" s="15"/>
      <c r="F3" s="14"/>
      <c r="G3" s="14"/>
      <c r="H3" s="14"/>
      <c r="I3" s="14"/>
    </row>
    <row r="4" spans="1:9" s="1" customFormat="1" ht="12.75">
      <c r="A4" s="24" t="s">
        <v>2</v>
      </c>
      <c r="B4" s="24"/>
      <c r="C4" s="5"/>
      <c r="D4" s="5"/>
      <c r="E4" s="5"/>
      <c r="F4" s="5"/>
      <c r="G4" s="5"/>
      <c r="H4" s="5"/>
      <c r="I4" s="5"/>
    </row>
    <row r="5" spans="1:9" s="1" customFormat="1" ht="12.75">
      <c r="A5" s="5"/>
      <c r="B5" s="5"/>
      <c r="C5" s="5"/>
      <c r="D5" s="5"/>
      <c r="E5" s="5"/>
      <c r="F5" s="5"/>
      <c r="G5" s="23"/>
      <c r="H5" s="5"/>
      <c r="I5" s="5"/>
    </row>
    <row r="6" spans="3:9" s="1" customFormat="1" ht="12">
      <c r="C6" s="163" t="s">
        <v>3</v>
      </c>
      <c r="E6" s="163" t="s">
        <v>3</v>
      </c>
      <c r="G6" s="163" t="s">
        <v>3</v>
      </c>
      <c r="I6" s="163" t="s">
        <v>3</v>
      </c>
    </row>
    <row r="7" spans="3:9" s="1" customFormat="1" ht="9.75" customHeight="1">
      <c r="C7" s="163" t="s">
        <v>4</v>
      </c>
      <c r="E7" s="163" t="s">
        <v>4</v>
      </c>
      <c r="G7" s="163" t="s">
        <v>4</v>
      </c>
      <c r="I7" s="163" t="s">
        <v>4</v>
      </c>
    </row>
    <row r="8" spans="1:9" s="1" customFormat="1" ht="12">
      <c r="A8" s="196" t="s">
        <v>5</v>
      </c>
      <c r="B8" s="208" t="s">
        <v>211</v>
      </c>
      <c r="C8" s="208" t="s">
        <v>212</v>
      </c>
      <c r="D8" s="208" t="s">
        <v>216</v>
      </c>
      <c r="E8" s="208" t="s">
        <v>217</v>
      </c>
      <c r="F8" s="208" t="s">
        <v>228</v>
      </c>
      <c r="G8" s="208" t="s">
        <v>229</v>
      </c>
      <c r="H8" s="208" t="s">
        <v>239</v>
      </c>
      <c r="I8" s="208" t="s">
        <v>240</v>
      </c>
    </row>
    <row r="9" spans="1:9" s="1" customFormat="1" ht="12">
      <c r="A9" s="2"/>
      <c r="B9" s="3"/>
      <c r="C9" s="2"/>
      <c r="D9" s="3"/>
      <c r="E9" s="2"/>
      <c r="F9" s="3"/>
      <c r="G9" s="2"/>
      <c r="H9" s="3"/>
      <c r="I9" s="2"/>
    </row>
    <row r="10" spans="1:14" s="1" customFormat="1" ht="12">
      <c r="A10" s="2" t="s">
        <v>6</v>
      </c>
      <c r="B10" s="197">
        <v>32697630</v>
      </c>
      <c r="C10" s="198">
        <v>0.1445</v>
      </c>
      <c r="D10" s="197">
        <v>32000247</v>
      </c>
      <c r="E10" s="198">
        <v>-0.0213</v>
      </c>
      <c r="F10" s="197">
        <v>35489545</v>
      </c>
      <c r="G10" s="198">
        <v>0.109</v>
      </c>
      <c r="H10" s="197">
        <v>35217733</v>
      </c>
      <c r="I10" s="198">
        <v>-0.077</v>
      </c>
      <c r="J10" s="182">
        <f>+'.375%'!H7+'.225% Dist.'!H7+'.225% Dist.'!H33+'.25% Dist'!H7+'.25% Dist'!H33+'.25% Dist'!H60+'.0625% Dist'!H8+'.0625% Dist'!H37+'General Fund'!H37</f>
        <v>34961637</v>
      </c>
      <c r="K10" s="188">
        <f aca="true" t="shared" si="0" ref="K10:K20">+J10-H10</f>
        <v>-256096</v>
      </c>
      <c r="L10" s="189"/>
      <c r="N10" s="188"/>
    </row>
    <row r="11" spans="1:15" s="1" customFormat="1" ht="12">
      <c r="A11" s="2" t="s">
        <v>7</v>
      </c>
      <c r="B11" s="197">
        <v>31117349</v>
      </c>
      <c r="C11" s="198">
        <v>0.0346</v>
      </c>
      <c r="D11" s="197">
        <v>31049774</v>
      </c>
      <c r="E11" s="198">
        <v>-0.0022</v>
      </c>
      <c r="F11" s="197">
        <v>31405829</v>
      </c>
      <c r="G11" s="198">
        <v>0.0115</v>
      </c>
      <c r="H11" s="197">
        <v>36962108</v>
      </c>
      <c r="I11" s="198">
        <v>0.1769</v>
      </c>
      <c r="J11" s="182">
        <f>+'.375%'!H8+'.225% Dist.'!H8+'.225% Dist.'!H34+'.25% Dist'!H8+'.25% Dist'!H34+'.25% Dist'!H61+'.0625% Dist'!H9+'.0625% Dist'!H38+'General Fund'!H38</f>
        <v>36782893</v>
      </c>
      <c r="K11" s="188">
        <f t="shared" si="0"/>
        <v>-179215</v>
      </c>
      <c r="L11" s="189"/>
      <c r="O11" s="182"/>
    </row>
    <row r="12" spans="1:15" s="1" customFormat="1" ht="12">
      <c r="A12" s="2" t="s">
        <v>8</v>
      </c>
      <c r="B12" s="197">
        <v>29054137</v>
      </c>
      <c r="C12" s="198">
        <v>0.0028</v>
      </c>
      <c r="D12" s="197">
        <v>31464006</v>
      </c>
      <c r="E12" s="198">
        <v>0.0829</v>
      </c>
      <c r="F12" s="197">
        <v>30860035</v>
      </c>
      <c r="G12" s="198">
        <v>-0.0192</v>
      </c>
      <c r="H12" s="197">
        <v>38233671</v>
      </c>
      <c r="I12" s="198">
        <v>0.2389</v>
      </c>
      <c r="J12" s="182">
        <f>+'.375%'!H9+'.225% Dist.'!H9+'.225% Dist.'!H35+'.25% Dist'!H9+'.25% Dist'!H35+'.25% Dist'!H62+'.0625% Dist'!H10+'.0625% Dist'!H39+'General Fund'!H39</f>
        <v>38053538</v>
      </c>
      <c r="K12" s="188">
        <f t="shared" si="0"/>
        <v>-180133</v>
      </c>
      <c r="L12" s="189"/>
      <c r="O12" s="182"/>
    </row>
    <row r="13" spans="1:15" s="1" customFormat="1" ht="12">
      <c r="A13" s="2" t="s">
        <v>9</v>
      </c>
      <c r="B13" s="197">
        <v>29928356</v>
      </c>
      <c r="C13" s="198">
        <v>0.0438</v>
      </c>
      <c r="D13" s="197">
        <v>37220719</v>
      </c>
      <c r="E13" s="198">
        <v>0.2437</v>
      </c>
      <c r="F13" s="197">
        <v>32595331</v>
      </c>
      <c r="G13" s="198">
        <v>-0.1243</v>
      </c>
      <c r="H13" s="197">
        <v>36251503</v>
      </c>
      <c r="I13" s="198">
        <v>0.1122</v>
      </c>
      <c r="J13" s="182">
        <f>+'.375%'!H10+'.225% Dist.'!H10+'.225% Dist.'!H36+'.25% Dist'!H10+'.25% Dist'!H36+'.25% Dist'!H63+'.0625% Dist'!H11+'.0625% Dist'!H40+'General Fund'!H40</f>
        <v>35995906</v>
      </c>
      <c r="K13" s="188">
        <f t="shared" si="0"/>
        <v>-255597</v>
      </c>
      <c r="L13" s="189"/>
      <c r="O13" s="182"/>
    </row>
    <row r="14" spans="1:15" s="1" customFormat="1" ht="12">
      <c r="A14" s="2" t="s">
        <v>10</v>
      </c>
      <c r="B14" s="197">
        <v>29119208</v>
      </c>
      <c r="C14" s="198">
        <v>-0.0199</v>
      </c>
      <c r="D14" s="197">
        <v>26828664</v>
      </c>
      <c r="E14" s="198">
        <v>-0.0787</v>
      </c>
      <c r="F14" s="197">
        <v>31351802</v>
      </c>
      <c r="G14" s="198">
        <v>0.1686</v>
      </c>
      <c r="H14" s="197">
        <v>37921288</v>
      </c>
      <c r="I14" s="198">
        <v>0.2095</v>
      </c>
      <c r="J14" s="182">
        <f>+'.375%'!H11+'.225% Dist.'!H11+'.225% Dist.'!H37+'.25% Dist'!H11+'.25% Dist'!H37+'.25% Dist'!H64+'.0625% Dist'!H12+'.0625% Dist'!H41+'General Fund'!H41</f>
        <v>37702435</v>
      </c>
      <c r="K14" s="188">
        <f t="shared" si="0"/>
        <v>-218853</v>
      </c>
      <c r="L14" s="189"/>
      <c r="O14" s="182"/>
    </row>
    <row r="15" spans="1:15" s="1" customFormat="1" ht="12">
      <c r="A15" s="2" t="s">
        <v>11</v>
      </c>
      <c r="B15" s="197">
        <v>27626077</v>
      </c>
      <c r="C15" s="198">
        <v>-0.0328</v>
      </c>
      <c r="D15" s="197">
        <v>30189879</v>
      </c>
      <c r="E15" s="198">
        <v>0.0928</v>
      </c>
      <c r="F15" s="197">
        <v>31164647</v>
      </c>
      <c r="G15" s="198">
        <v>0.0323</v>
      </c>
      <c r="H15" s="197">
        <v>36071447</v>
      </c>
      <c r="I15" s="198">
        <v>0.1574</v>
      </c>
      <c r="J15" s="182">
        <f>+'.375%'!H12+'.225% Dist.'!H12+'.225% Dist.'!H38+'.25% Dist'!H12+'.25% Dist'!H38+'.25% Dist'!H65+'.0625% Dist'!H13+'.0625% Dist'!H42+'General Fund'!H42</f>
        <v>35865212</v>
      </c>
      <c r="K15" s="188">
        <f t="shared" si="0"/>
        <v>-206235</v>
      </c>
      <c r="L15" s="189"/>
      <c r="O15" s="182"/>
    </row>
    <row r="16" spans="1:15" s="1" customFormat="1" ht="12">
      <c r="A16" s="2" t="s">
        <v>12</v>
      </c>
      <c r="B16" s="197">
        <v>32558201</v>
      </c>
      <c r="C16" s="198">
        <v>-0.0129</v>
      </c>
      <c r="D16" s="197">
        <v>35979952</v>
      </c>
      <c r="E16" s="198">
        <v>0.1051</v>
      </c>
      <c r="F16" s="197">
        <v>35894134</v>
      </c>
      <c r="G16" s="198">
        <v>-0.0024</v>
      </c>
      <c r="H16" s="197">
        <v>41300710</v>
      </c>
      <c r="I16" s="198">
        <v>0.1506</v>
      </c>
      <c r="J16" s="182">
        <f>+'.375%'!H13+'.225% Dist.'!H13+'.225% Dist.'!H39+'.25% Dist'!H13+'.25% Dist'!H39+'.25% Dist'!H66+'.0625% Dist'!H14+'.0625% Dist'!H43+'General Fund'!H43</f>
        <v>41146626</v>
      </c>
      <c r="K16" s="188">
        <f t="shared" si="0"/>
        <v>-154084</v>
      </c>
      <c r="L16" s="189"/>
      <c r="O16" s="182"/>
    </row>
    <row r="17" spans="1:15" s="1" customFormat="1" ht="12">
      <c r="A17" s="2" t="s">
        <v>13</v>
      </c>
      <c r="B17" s="197">
        <v>28596907</v>
      </c>
      <c r="C17" s="198">
        <v>0.0549</v>
      </c>
      <c r="D17" s="197">
        <v>29623509</v>
      </c>
      <c r="E17" s="198">
        <v>0.0359</v>
      </c>
      <c r="F17" s="197">
        <v>30768212</v>
      </c>
      <c r="G17" s="198">
        <v>0.0386</v>
      </c>
      <c r="H17" s="197">
        <v>35959116</v>
      </c>
      <c r="I17" s="198">
        <v>0.1687</v>
      </c>
      <c r="J17" s="182">
        <f>+'.375%'!H14+'.225% Dist.'!H14+'.225% Dist.'!H40+'.25% Dist'!H14+'.25% Dist'!H40+'.25% Dist'!H67+'.0625% Dist'!H15+'.0625% Dist'!H44+'General Fund'!H44</f>
        <v>35713355</v>
      </c>
      <c r="K17" s="188">
        <f t="shared" si="0"/>
        <v>-245761</v>
      </c>
      <c r="L17" s="189"/>
      <c r="O17" s="182"/>
    </row>
    <row r="18" spans="1:15" s="1" customFormat="1" ht="12">
      <c r="A18" s="2" t="s">
        <v>14</v>
      </c>
      <c r="B18" s="197">
        <v>29019101</v>
      </c>
      <c r="C18" s="198">
        <v>0.1004</v>
      </c>
      <c r="D18" s="197">
        <v>28862762</v>
      </c>
      <c r="E18" s="198">
        <v>-0.0054</v>
      </c>
      <c r="F18" s="197">
        <v>29166049</v>
      </c>
      <c r="G18" s="198">
        <v>0.0105</v>
      </c>
      <c r="H18" s="197">
        <v>34996234</v>
      </c>
      <c r="I18" s="198">
        <v>0.1999</v>
      </c>
      <c r="J18" s="182">
        <f>+'.375%'!H15+'.225% Dist.'!H15+'.225% Dist.'!H41+'.25% Dist'!H15+'.25% Dist'!H41+'.25% Dist'!H68+'.0625% Dist'!H16+'.0625% Dist'!H45+'General Fund'!H45</f>
        <v>34754312</v>
      </c>
      <c r="K18" s="188">
        <f t="shared" si="0"/>
        <v>-241922</v>
      </c>
      <c r="L18" s="189"/>
      <c r="O18" s="182"/>
    </row>
    <row r="19" spans="1:15" s="1" customFormat="1" ht="12">
      <c r="A19" s="2" t="s">
        <v>15</v>
      </c>
      <c r="B19" s="197">
        <v>31091120</v>
      </c>
      <c r="C19" s="198">
        <v>0.0042</v>
      </c>
      <c r="D19" s="197">
        <v>32733016</v>
      </c>
      <c r="E19" s="198">
        <v>0.0528</v>
      </c>
      <c r="F19" s="197">
        <v>34955381</v>
      </c>
      <c r="G19" s="198">
        <v>0.0679</v>
      </c>
      <c r="H19" s="197">
        <v>39526277</v>
      </c>
      <c r="I19" s="198">
        <v>0.1308</v>
      </c>
      <c r="J19" s="182">
        <f>+'.375%'!H16+'.225% Dist.'!H16+'.225% Dist.'!H42+'.25% Dist'!H16+'.25% Dist'!H42+'.25% Dist'!H69+'.0625% Dist'!H17+'.0625% Dist'!H46+'General Fund'!H46</f>
        <v>39205751</v>
      </c>
      <c r="K19" s="188">
        <f t="shared" si="0"/>
        <v>-320526</v>
      </c>
      <c r="L19" s="189"/>
      <c r="O19" s="182"/>
    </row>
    <row r="20" spans="1:15" s="1" customFormat="1" ht="12">
      <c r="A20" s="2" t="s">
        <v>16</v>
      </c>
      <c r="B20" s="197">
        <v>28092072</v>
      </c>
      <c r="C20" s="198">
        <v>-0.0933</v>
      </c>
      <c r="D20" s="197">
        <v>30347578</v>
      </c>
      <c r="E20" s="198">
        <v>0.0803</v>
      </c>
      <c r="F20" s="197">
        <v>31909762</v>
      </c>
      <c r="G20" s="198">
        <v>0.0515</v>
      </c>
      <c r="H20" s="197">
        <v>38310284</v>
      </c>
      <c r="I20" s="198">
        <v>0.2006</v>
      </c>
      <c r="J20" s="182">
        <f>+'.375%'!H17+'.225% Dist.'!H17+'.225% Dist.'!H43+'.25% Dist'!H17+'.25% Dist'!H43+'.25% Dist'!H70+'.0625% Dist'!H18+'.0625% Dist'!H47+'General Fund'!H47</f>
        <v>38144503</v>
      </c>
      <c r="K20" s="188">
        <f t="shared" si="0"/>
        <v>-165781</v>
      </c>
      <c r="L20" s="189"/>
      <c r="O20" s="182"/>
    </row>
    <row r="21" spans="1:15" s="1" customFormat="1" ht="12">
      <c r="A21" s="2" t="s">
        <v>17</v>
      </c>
      <c r="B21" s="197">
        <v>28827666</v>
      </c>
      <c r="C21" s="198">
        <v>0.0058</v>
      </c>
      <c r="D21" s="197">
        <v>31889295</v>
      </c>
      <c r="E21" s="198">
        <v>0.0572</v>
      </c>
      <c r="F21" s="197">
        <v>40179912</v>
      </c>
      <c r="G21" s="198">
        <v>0.26</v>
      </c>
      <c r="H21" s="197">
        <f>'Monthly receipts from State'!$D$23</f>
        <v>38284979.17</v>
      </c>
      <c r="I21" s="198">
        <f>+H21/F21-1</f>
        <v>-0.04716119910864902</v>
      </c>
      <c r="K21" s="70"/>
      <c r="L21" s="189"/>
      <c r="M21" s="189"/>
      <c r="O21" s="182"/>
    </row>
    <row r="22" spans="1:9" s="1" customFormat="1" ht="12">
      <c r="A22" s="2"/>
      <c r="B22" s="197"/>
      <c r="C22" s="198"/>
      <c r="D22" s="197"/>
      <c r="E22" s="198"/>
      <c r="F22" s="197"/>
      <c r="G22" s="198"/>
      <c r="H22" s="197"/>
      <c r="I22" s="198"/>
    </row>
    <row r="23" spans="1:12" s="4" customFormat="1" ht="12">
      <c r="A23" s="199" t="s">
        <v>139</v>
      </c>
      <c r="B23" s="200"/>
      <c r="C23" s="201"/>
      <c r="D23" s="200"/>
      <c r="E23" s="201"/>
      <c r="F23" s="202">
        <f>SUM(F10:F21)</f>
        <v>395740639</v>
      </c>
      <c r="G23" s="203"/>
      <c r="H23" s="202">
        <f>SUM(H10:H21)</f>
        <v>449035350.17</v>
      </c>
      <c r="I23" s="203">
        <f>H23/(SUM(F10:F21))-1</f>
        <v>0.134670806881676</v>
      </c>
      <c r="L23" s="183"/>
    </row>
    <row r="24" spans="1:9" s="4" customFormat="1" ht="12">
      <c r="A24" s="33" t="s">
        <v>123</v>
      </c>
      <c r="B24" s="202">
        <f>SUM(B10:B23)</f>
        <v>357727824</v>
      </c>
      <c r="C24" s="198">
        <v>0.0376</v>
      </c>
      <c r="D24" s="202">
        <f>SUM(D10:D21)</f>
        <v>378189401</v>
      </c>
      <c r="E24" s="198">
        <f>D24/B24-1</f>
        <v>0.05719872938930237</v>
      </c>
      <c r="F24" s="202">
        <f>SUM(F10:F21)</f>
        <v>395740639</v>
      </c>
      <c r="G24" s="198">
        <f>F24/D24-1</f>
        <v>0.04640859303193423</v>
      </c>
      <c r="H24" s="1"/>
      <c r="I24" s="1"/>
    </row>
    <row r="25" spans="1:12" s="4" customFormat="1" ht="12">
      <c r="A25" s="1"/>
      <c r="B25" s="1"/>
      <c r="C25" s="202" t="s">
        <v>19</v>
      </c>
      <c r="D25" s="1"/>
      <c r="E25" s="202" t="s">
        <v>19</v>
      </c>
      <c r="F25" s="1"/>
      <c r="G25" s="202" t="s">
        <v>19</v>
      </c>
      <c r="H25" s="1"/>
      <c r="I25" s="1" t="s">
        <v>19</v>
      </c>
      <c r="L25" s="190"/>
    </row>
    <row r="26" spans="1:12" s="4" customFormat="1" ht="12">
      <c r="A26" s="33" t="s">
        <v>121</v>
      </c>
      <c r="B26" s="202">
        <v>357338840</v>
      </c>
      <c r="C26" s="198">
        <f>(B24/B26)</f>
        <v>1.0010885578517017</v>
      </c>
      <c r="D26" s="202">
        <v>387435000</v>
      </c>
      <c r="E26" s="198">
        <f>(D24/D26)</f>
        <v>0.9761363867487449</v>
      </c>
      <c r="F26" s="202">
        <v>395820000</v>
      </c>
      <c r="G26" s="198">
        <f>(F24/F26)</f>
        <v>0.9997995022990248</v>
      </c>
      <c r="H26" s="202">
        <v>444253892</v>
      </c>
      <c r="I26" s="203">
        <f>(H23/H26)</f>
        <v>1.010762895398562</v>
      </c>
      <c r="L26" s="184"/>
    </row>
    <row r="27" spans="3:9" s="4" customFormat="1" ht="11.25">
      <c r="C27" s="67"/>
      <c r="E27" s="67"/>
      <c r="G27" s="67"/>
      <c r="I27" s="67"/>
    </row>
    <row r="28" s="4" customFormat="1" ht="11.25">
      <c r="F28" s="74"/>
    </row>
    <row r="29" spans="2:6" s="4" customFormat="1" ht="11.25">
      <c r="B29" s="32"/>
      <c r="F29" s="193"/>
    </row>
    <row r="30" s="4" customFormat="1" ht="11.25">
      <c r="F30" s="185"/>
    </row>
    <row r="31" s="4" customFormat="1" ht="11.25">
      <c r="F31" s="185"/>
    </row>
    <row r="32" s="4" customFormat="1" ht="11.25">
      <c r="F32" s="185"/>
    </row>
    <row r="33" s="1" customFormat="1" ht="12"/>
    <row r="34" s="1" customFormat="1" ht="12"/>
    <row r="35" s="1" customFormat="1" ht="12"/>
    <row r="36" s="1" customFormat="1" ht="12"/>
    <row r="37" s="1" customFormat="1" ht="12"/>
    <row r="38" spans="10:11" s="1" customFormat="1" ht="12">
      <c r="J38" s="25"/>
      <c r="K38" s="25"/>
    </row>
    <row r="39" spans="10:11" s="1" customFormat="1" ht="12.75">
      <c r="J39" s="5"/>
      <c r="K39" s="5"/>
    </row>
    <row r="40" spans="10:11" s="1" customFormat="1" ht="12.75">
      <c r="J40" s="5"/>
      <c r="K40" s="5"/>
    </row>
    <row r="41" s="1" customFormat="1" ht="12"/>
    <row r="42" s="1" customFormat="1" ht="12"/>
    <row r="43" s="1" customFormat="1" ht="12"/>
    <row r="44" s="1" customFormat="1" ht="12"/>
    <row r="45" s="4" customFormat="1" ht="11.25"/>
    <row r="46" s="4" customFormat="1" ht="11.25"/>
    <row r="47" s="4" customFormat="1" ht="11.25"/>
    <row r="48" s="4" customFormat="1" ht="11.25"/>
    <row r="49" ht="12.75"/>
    <row r="53" spans="1:9" ht="12.75">
      <c r="A53" s="1"/>
      <c r="B53" s="32"/>
      <c r="C53" s="78"/>
      <c r="D53" s="77"/>
      <c r="E53" s="77"/>
      <c r="F53" s="34"/>
      <c r="G53" s="34"/>
      <c r="H53" s="1"/>
      <c r="I53" s="1"/>
    </row>
    <row r="54" spans="1:9" ht="12.75">
      <c r="A54" s="1"/>
      <c r="B54" s="1"/>
      <c r="C54" s="1"/>
      <c r="D54" s="1"/>
      <c r="E54" s="1"/>
      <c r="F54" s="1"/>
      <c r="G54" s="1"/>
      <c r="H54" s="1"/>
      <c r="I54" s="1"/>
    </row>
    <row r="55" spans="1:9" ht="12.75">
      <c r="A55" s="33"/>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sheetData>
  <sheetProtection/>
  <printOptions horizontalCentered="1"/>
  <pageMargins left="0.27" right="0.25" top="0.5" bottom="0.5" header="0.5" footer="0.5"/>
  <pageSetup fitToHeight="1" fitToWidth="1" horizontalDpi="600" verticalDpi="600" orientation="portrait" scale="81" r:id="rId3"/>
  <headerFooter alignWithMargins="0">
    <oddFooter>&amp;CPage 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57"/>
  <sheetViews>
    <sheetView zoomScale="110" zoomScaleNormal="110" zoomScalePageLayoutView="0" workbookViewId="0" topLeftCell="A1">
      <selection activeCell="J24" sqref="J24"/>
    </sheetView>
  </sheetViews>
  <sheetFormatPr defaultColWidth="8.875" defaultRowHeight="12.75"/>
  <cols>
    <col min="1" max="1" width="10.625" style="5" customWidth="1"/>
    <col min="2" max="2" width="12.00390625" style="5" customWidth="1"/>
    <col min="3" max="3" width="11.75390625" style="5" customWidth="1"/>
    <col min="4" max="4" width="11.375" style="5" customWidth="1"/>
    <col min="5" max="5" width="10.375" style="5" customWidth="1"/>
    <col min="6" max="6" width="11.75390625" style="5" bestFit="1" customWidth="1"/>
    <col min="7" max="7" width="11.00390625" style="5" customWidth="1"/>
    <col min="8" max="8" width="12.00390625" style="5" customWidth="1"/>
    <col min="9" max="9" width="11.75390625" style="5" customWidth="1"/>
    <col min="10" max="10" width="11.125" style="5" customWidth="1"/>
    <col min="11" max="11" width="10.125" style="5" customWidth="1"/>
    <col min="12" max="13" width="9.125" style="5" customWidth="1"/>
    <col min="14" max="14" width="10.875" style="5" bestFit="1" customWidth="1"/>
    <col min="15" max="15" width="11.375" style="5" bestFit="1" customWidth="1"/>
    <col min="16" max="16" width="8.875" style="5" customWidth="1"/>
    <col min="17" max="17" width="10.125" style="5" bestFit="1" customWidth="1"/>
    <col min="18" max="16384" width="8.875" style="5" customWidth="1"/>
  </cols>
  <sheetData>
    <row r="1" spans="1:8" ht="15.75">
      <c r="A1" s="13" t="s">
        <v>0</v>
      </c>
      <c r="B1" s="14"/>
      <c r="C1" s="14"/>
      <c r="D1" s="14"/>
      <c r="E1" s="16"/>
      <c r="F1" s="14"/>
      <c r="G1" s="14"/>
      <c r="H1" s="16"/>
    </row>
    <row r="2" spans="1:8" ht="15.75">
      <c r="A2" s="13" t="s">
        <v>1</v>
      </c>
      <c r="B2" s="14"/>
      <c r="C2" s="14"/>
      <c r="D2" s="14"/>
      <c r="E2" s="13"/>
      <c r="F2" s="16"/>
      <c r="G2" s="14"/>
      <c r="H2" s="16"/>
    </row>
    <row r="3" spans="1:9" ht="12.75">
      <c r="A3" s="14"/>
      <c r="B3" s="14"/>
      <c r="C3" s="14"/>
      <c r="D3" s="14"/>
      <c r="E3" s="15"/>
      <c r="F3" s="14"/>
      <c r="G3" s="14"/>
      <c r="H3" s="14"/>
      <c r="I3" s="14"/>
    </row>
    <row r="4" spans="1:9" s="1" customFormat="1" ht="12.75">
      <c r="A4" s="24" t="s">
        <v>107</v>
      </c>
      <c r="B4" s="24"/>
      <c r="C4" s="5"/>
      <c r="D4" s="5"/>
      <c r="E4" s="5"/>
      <c r="F4" s="5"/>
      <c r="G4" s="5"/>
      <c r="H4" s="5"/>
      <c r="I4" s="5"/>
    </row>
    <row r="5" spans="1:9" s="1" customFormat="1" ht="12.75">
      <c r="A5" s="5"/>
      <c r="B5" s="5"/>
      <c r="C5" s="5"/>
      <c r="D5" s="5"/>
      <c r="E5" s="5"/>
      <c r="F5" s="5"/>
      <c r="G5" s="23"/>
      <c r="H5" s="5"/>
      <c r="I5" s="5"/>
    </row>
    <row r="6" spans="1:9" s="1" customFormat="1" ht="12">
      <c r="A6" s="4"/>
      <c r="B6" s="4"/>
      <c r="C6" s="67" t="s">
        <v>3</v>
      </c>
      <c r="D6" s="4"/>
      <c r="E6" s="67" t="s">
        <v>3</v>
      </c>
      <c r="F6" s="4"/>
      <c r="G6" s="67" t="s">
        <v>3</v>
      </c>
      <c r="H6" s="4"/>
      <c r="I6" s="67" t="s">
        <v>3</v>
      </c>
    </row>
    <row r="7" spans="1:9" s="1" customFormat="1" ht="9.75" customHeight="1">
      <c r="A7" s="4"/>
      <c r="B7" s="4"/>
      <c r="C7" s="67" t="s">
        <v>4</v>
      </c>
      <c r="D7" s="4"/>
      <c r="E7" s="67" t="s">
        <v>4</v>
      </c>
      <c r="F7" s="4"/>
      <c r="G7" s="67" t="s">
        <v>4</v>
      </c>
      <c r="H7" s="4"/>
      <c r="I7" s="67" t="s">
        <v>4</v>
      </c>
    </row>
    <row r="8" spans="1:17" s="1" customFormat="1" ht="12">
      <c r="A8" s="68" t="s">
        <v>5</v>
      </c>
      <c r="B8" s="69" t="s">
        <v>211</v>
      </c>
      <c r="C8" s="69" t="s">
        <v>212</v>
      </c>
      <c r="D8" s="69" t="s">
        <v>216</v>
      </c>
      <c r="E8" s="69" t="s">
        <v>217</v>
      </c>
      <c r="F8" s="69" t="s">
        <v>228</v>
      </c>
      <c r="G8" s="69" t="s">
        <v>229</v>
      </c>
      <c r="H8" s="69" t="s">
        <v>239</v>
      </c>
      <c r="I8" s="69" t="s">
        <v>240</v>
      </c>
      <c r="O8" s="1" t="s">
        <v>262</v>
      </c>
      <c r="Q8" s="1" t="s">
        <v>262</v>
      </c>
    </row>
    <row r="9" spans="1:17" s="1" customFormat="1" ht="12">
      <c r="A9" s="32"/>
      <c r="B9" s="34"/>
      <c r="C9" s="32"/>
      <c r="D9" s="34"/>
      <c r="E9" s="32"/>
      <c r="F9" s="311"/>
      <c r="G9" s="32"/>
      <c r="H9" s="34"/>
      <c r="I9" s="32"/>
      <c r="O9" s="313">
        <f>+Q9-1</f>
        <v>2018</v>
      </c>
      <c r="Q9" s="313">
        <v>2019</v>
      </c>
    </row>
    <row r="10" spans="1:18" s="1" customFormat="1" ht="12">
      <c r="A10" s="32" t="s">
        <v>6</v>
      </c>
      <c r="B10" s="70">
        <v>29262971</v>
      </c>
      <c r="C10" s="71">
        <v>0.1443</v>
      </c>
      <c r="D10" s="70">
        <v>28597030</v>
      </c>
      <c r="E10" s="71">
        <v>-0.0228</v>
      </c>
      <c r="F10" s="70">
        <f>+'Total Distribution'!F10-'.25% Dist'!F7-'.25% Dist'!F33</f>
        <v>30307223.950000003</v>
      </c>
      <c r="G10" s="71">
        <v>0.0597</v>
      </c>
      <c r="H10" s="70">
        <v>30118209</v>
      </c>
      <c r="I10" s="71">
        <v>-0.0062</v>
      </c>
      <c r="J10" s="70"/>
      <c r="K10" s="70"/>
      <c r="L10" s="70"/>
      <c r="N10" s="188"/>
      <c r="O10" s="70">
        <f>+F37+'.375%'!F7+'.225% Dist.'!F7+'.225% Dist.'!F33+'.25% Dist'!F60+'.0625% Dist'!F8+'.0625% Dist'!F37+'Local &amp; State'!F8+'Local &amp; State'!F30</f>
        <v>30307223.95</v>
      </c>
      <c r="Q10" s="70">
        <f>+H37+'.375%'!H7+'.225% Dist.'!H7+'.225% Dist.'!H33+'.25% Dist'!H60+'.0625% Dist'!H8+'.0625% Dist'!H37+'Local &amp; State'!H8+'Local &amp; State'!H30</f>
        <v>30118209</v>
      </c>
      <c r="R10" s="315">
        <f>+Q10-H10</f>
        <v>0</v>
      </c>
    </row>
    <row r="11" spans="1:18" s="1" customFormat="1" ht="12">
      <c r="A11" s="32" t="s">
        <v>7</v>
      </c>
      <c r="B11" s="70">
        <v>27847452</v>
      </c>
      <c r="C11" s="71">
        <v>0.0343</v>
      </c>
      <c r="D11" s="70">
        <v>26516908</v>
      </c>
      <c r="E11" s="71">
        <v>-0.0478</v>
      </c>
      <c r="F11" s="70">
        <f>+'Total Distribution'!F11-'.25% Dist'!F8-'.25% Dist'!F34</f>
        <v>26816386.63</v>
      </c>
      <c r="G11" s="71">
        <v>0.0112</v>
      </c>
      <c r="H11" s="70">
        <v>32195242</v>
      </c>
      <c r="I11" s="71">
        <v>0.2006</v>
      </c>
      <c r="N11" s="188"/>
      <c r="O11" s="70">
        <f>+F38+'.375%'!F8+'.225% Dist.'!F8+'.225% Dist.'!F34+'.25% Dist'!F61+'.0625% Dist'!F9+'.0625% Dist'!F38+'Local &amp; State'!F9+'Local &amp; State'!F31</f>
        <v>26816388.63</v>
      </c>
      <c r="Q11" s="70">
        <f>+H38+'.375%'!H8+'.225% Dist.'!H8+'.225% Dist.'!H34+'.25% Dist'!H61+'.0625% Dist'!H9+'.0625% Dist'!H38+'Local &amp; State'!H9+'Local &amp; State'!H31</f>
        <v>32195240</v>
      </c>
      <c r="R11" s="315">
        <f aca="true" t="shared" si="0" ref="R11:R21">+Q11-H11</f>
        <v>-2</v>
      </c>
    </row>
    <row r="12" spans="1:18" s="1" customFormat="1" ht="12">
      <c r="A12" s="32" t="s">
        <v>8</v>
      </c>
      <c r="B12" s="70">
        <v>26004816</v>
      </c>
      <c r="C12" s="71">
        <v>0.0026</v>
      </c>
      <c r="D12" s="70">
        <v>26860811</v>
      </c>
      <c r="E12" s="71">
        <v>0.0329</v>
      </c>
      <c r="F12" s="70">
        <f>+'Total Distribution'!F12-'.25% Dist'!F9-'.25% Dist'!F35</f>
        <v>26350930.39</v>
      </c>
      <c r="G12" s="71">
        <v>-0.0191</v>
      </c>
      <c r="H12" s="70">
        <v>33300368</v>
      </c>
      <c r="I12" s="71">
        <v>0.2637</v>
      </c>
      <c r="N12" s="188"/>
      <c r="O12" s="70">
        <f>+F39+'.375%'!F9+'.225% Dist.'!F9+'.225% Dist.'!F35+'.25% Dist'!F62+'.0625% Dist'!F10+'.0625% Dist'!F39+'Local &amp; State'!F10+'Local &amp; State'!F32</f>
        <v>26350930.39</v>
      </c>
      <c r="Q12" s="70">
        <f>+H39+'.375%'!H9+'.225% Dist.'!H9+'.225% Dist.'!H35+'.25% Dist'!H62+'.0625% Dist'!H10+'.0625% Dist'!H39+'Local &amp; State'!H10+'Local &amp; State'!H32</f>
        <v>33300367</v>
      </c>
      <c r="R12" s="315">
        <f t="shared" si="0"/>
        <v>-1</v>
      </c>
    </row>
    <row r="13" spans="1:18" s="1" customFormat="1" ht="12">
      <c r="A13" s="32" t="s">
        <v>9</v>
      </c>
      <c r="B13" s="70">
        <v>26786863</v>
      </c>
      <c r="C13" s="71">
        <v>0.0438</v>
      </c>
      <c r="D13" s="70">
        <v>32020757</v>
      </c>
      <c r="E13" s="71">
        <v>0.1954</v>
      </c>
      <c r="F13" s="70">
        <f>+'Total Distribution'!F13-'.25% Dist'!F10-'.25% Dist'!F36</f>
        <v>27833839.33</v>
      </c>
      <c r="G13" s="71">
        <v>-0.1309</v>
      </c>
      <c r="H13" s="70">
        <v>31590658</v>
      </c>
      <c r="I13" s="71">
        <v>0.135</v>
      </c>
      <c r="N13" s="188"/>
      <c r="O13" s="70">
        <f>+F40+'.375%'!F10+'.225% Dist.'!F10+'.225% Dist.'!F36+'.25% Dist'!F63+'.0625% Dist'!F11+'.0625% Dist'!F40+'Local &amp; State'!F11+'Local &amp; State'!F33</f>
        <v>27833838.33</v>
      </c>
      <c r="Q13" s="70">
        <f>+H40+'.375%'!H10+'.225% Dist.'!H10+'.225% Dist.'!H36+'.25% Dist'!H63+'.0625% Dist'!H11+'.0625% Dist'!H40+'Local &amp; State'!H11+'Local &amp; State'!H33</f>
        <v>31590657</v>
      </c>
      <c r="R13" s="315">
        <f t="shared" si="0"/>
        <v>-1</v>
      </c>
    </row>
    <row r="14" spans="1:18" s="1" customFormat="1" ht="12">
      <c r="A14" s="32" t="s">
        <v>10</v>
      </c>
      <c r="B14" s="70">
        <v>26065250</v>
      </c>
      <c r="C14" s="71">
        <v>-0.0198</v>
      </c>
      <c r="D14" s="70">
        <v>22734731</v>
      </c>
      <c r="E14" s="71">
        <v>-0.1278</v>
      </c>
      <c r="F14" s="70">
        <f>+'Total Distribution'!F14-'.25% Dist'!F11-'.25% Dist'!F37</f>
        <v>26772008.8</v>
      </c>
      <c r="G14" s="71">
        <v>0.1774</v>
      </c>
      <c r="H14" s="70">
        <v>33041706</v>
      </c>
      <c r="I14" s="71">
        <v>0.2342</v>
      </c>
      <c r="N14" s="188"/>
      <c r="O14" s="70">
        <f>+F41+'.375%'!F11+'.225% Dist.'!F11+'.225% Dist.'!F37+'.25% Dist'!F64+'.0625% Dist'!F12+'.0625% Dist'!F41+'Local &amp; State'!F12+'Local &amp; State'!F34</f>
        <v>26772007.8</v>
      </c>
      <c r="Q14" s="70">
        <f>+H41+'.375%'!H11+'.225% Dist.'!H11+'.225% Dist.'!H37+'.25% Dist'!H64+'.0625% Dist'!H12+'.0625% Dist'!H41+'Local &amp; State'!H12+'Local &amp; State'!H34</f>
        <v>33041706</v>
      </c>
      <c r="R14" s="315">
        <f t="shared" si="0"/>
        <v>0</v>
      </c>
    </row>
    <row r="15" spans="1:18" s="1" customFormat="1" ht="12">
      <c r="A15" s="32" t="s">
        <v>11</v>
      </c>
      <c r="B15" s="70">
        <v>24714058</v>
      </c>
      <c r="C15" s="71">
        <v>-0.0336</v>
      </c>
      <c r="D15" s="70">
        <v>25801548</v>
      </c>
      <c r="E15" s="71">
        <v>0.044</v>
      </c>
      <c r="F15" s="70">
        <f>+'Total Distribution'!F15-'.25% Dist'!F12-'.25% Dist'!F38</f>
        <v>26615025.48</v>
      </c>
      <c r="G15" s="71">
        <v>0.0314</v>
      </c>
      <c r="H15" s="70">
        <v>31432913</v>
      </c>
      <c r="I15" s="71">
        <v>0.181</v>
      </c>
      <c r="N15" s="188"/>
      <c r="O15" s="70">
        <f>+F42+'.375%'!F12+'.225% Dist.'!F12+'.225% Dist.'!F38+'.25% Dist'!F65+'.0625% Dist'!F13+'.0625% Dist'!F42+'Local &amp; State'!F13+'Local &amp; State'!F35</f>
        <v>26615025.48</v>
      </c>
      <c r="Q15" s="70">
        <f>+H42+'.375%'!H12+'.225% Dist.'!H12+'.225% Dist.'!H38+'.25% Dist'!H65+'.0625% Dist'!H13+'.0625% Dist'!H42+'Local &amp; State'!H13+'Local &amp; State'!H35</f>
        <v>31432913</v>
      </c>
      <c r="R15" s="315">
        <f t="shared" si="0"/>
        <v>0</v>
      </c>
    </row>
    <row r="16" spans="1:18" s="1" customFormat="1" ht="12">
      <c r="A16" s="32" t="s">
        <v>12</v>
      </c>
      <c r="B16" s="70">
        <v>29135232</v>
      </c>
      <c r="C16" s="71">
        <v>-0.0132</v>
      </c>
      <c r="D16" s="70">
        <v>30880607</v>
      </c>
      <c r="E16" s="71">
        <v>0.0599</v>
      </c>
      <c r="F16" s="70">
        <f>+'Total Distribution'!F16-'.25% Dist'!F13-'.25% Dist'!F39</f>
        <v>30669855.909999996</v>
      </c>
      <c r="G16" s="71">
        <v>-0.007</v>
      </c>
      <c r="H16" s="70">
        <v>35983932</v>
      </c>
      <c r="I16" s="71">
        <v>0.1733</v>
      </c>
      <c r="N16" s="188"/>
      <c r="O16" s="70">
        <f>+F43+'.375%'!F13+'.225% Dist.'!F13+'.225% Dist.'!F39+'.25% Dist'!F66+'.0625% Dist'!F14+'.0625% Dist'!F43+'Local &amp; State'!F14+'Local &amp; State'!F36</f>
        <v>30669854.91</v>
      </c>
      <c r="Q16" s="70">
        <f>+H43+'.375%'!H13+'.225% Dist.'!H13+'.225% Dist.'!H39+'.25% Dist'!H66+'.0625% Dist'!H14+'.0625% Dist'!H43+'Local &amp; State'!H14+'Local &amp; State'!H36</f>
        <v>35983933</v>
      </c>
      <c r="R16" s="315">
        <f t="shared" si="0"/>
        <v>1</v>
      </c>
    </row>
    <row r="17" spans="1:18" s="1" customFormat="1" ht="12.75">
      <c r="A17" s="32" t="s">
        <v>13</v>
      </c>
      <c r="B17" s="70">
        <v>25586054</v>
      </c>
      <c r="C17" s="71">
        <v>0.0517</v>
      </c>
      <c r="D17" s="70">
        <v>25309874</v>
      </c>
      <c r="E17" s="71">
        <v>-0.0108</v>
      </c>
      <c r="F17" s="70">
        <f>+'Total Distribution'!F17-'.25% Dist'!F14-'.25% Dist'!F40</f>
        <v>26273683.17</v>
      </c>
      <c r="G17" s="71">
        <v>-0.007</v>
      </c>
      <c r="H17" s="70">
        <v>31340496</v>
      </c>
      <c r="I17" s="71">
        <v>0.1928</v>
      </c>
      <c r="L17" s="5"/>
      <c r="N17" s="188"/>
      <c r="O17" s="70">
        <f>+F44+'.375%'!F14+'.225% Dist.'!F14+'.225% Dist.'!F40+'.25% Dist'!F67+'.0625% Dist'!F15+'.0625% Dist'!F44+'Local &amp; State'!F15+'Local &amp; State'!F37</f>
        <v>26273683.17</v>
      </c>
      <c r="Q17" s="70">
        <f>+H44+'.375%'!H14+'.225% Dist.'!H14+'.225% Dist.'!H40+'.25% Dist'!H67+'.0625% Dist'!H15+'.0625% Dist'!H44+'Local &amp; State'!H15+'Local &amp; State'!H37</f>
        <v>31340495</v>
      </c>
      <c r="R17" s="315">
        <f t="shared" si="0"/>
        <v>-1</v>
      </c>
    </row>
    <row r="18" spans="1:18" s="1" customFormat="1" ht="12.75">
      <c r="A18" s="32" t="s">
        <v>14</v>
      </c>
      <c r="B18" s="70">
        <v>25966246</v>
      </c>
      <c r="C18" s="71">
        <v>0.0997</v>
      </c>
      <c r="D18" s="70">
        <v>24661519</v>
      </c>
      <c r="E18" s="71">
        <v>-0.0502</v>
      </c>
      <c r="F18" s="70">
        <f>+'Total Distribution'!F18-'.25% Dist'!F15-'.25% Dist'!F41</f>
        <v>24928595.06</v>
      </c>
      <c r="G18" s="71">
        <v>0.0106</v>
      </c>
      <c r="H18" s="70">
        <v>30501635</v>
      </c>
      <c r="I18" s="71">
        <v>0.2236</v>
      </c>
      <c r="L18" s="5"/>
      <c r="N18" s="188"/>
      <c r="O18" s="70">
        <f>+F45+'.375%'!F15+'.225% Dist.'!F15+'.225% Dist.'!F41+'.25% Dist'!F68+'.0625% Dist'!F16+'.0625% Dist'!F45+'Local &amp; State'!F16+'Local &amp; State'!F38</f>
        <v>24928596.06</v>
      </c>
      <c r="Q18" s="70">
        <f>+H45+'.375%'!H15+'.225% Dist.'!H15+'.225% Dist.'!H41+'.25% Dist'!H68+'.0625% Dist'!H16+'.0625% Dist'!H45+'Local &amp; State'!H16+'Local &amp; State'!H38</f>
        <v>30501634</v>
      </c>
      <c r="R18" s="315">
        <f t="shared" si="0"/>
        <v>-1</v>
      </c>
    </row>
    <row r="19" spans="1:18" s="1" customFormat="1" ht="12.75">
      <c r="A19" s="32" t="s">
        <v>15</v>
      </c>
      <c r="B19" s="70">
        <v>27813347</v>
      </c>
      <c r="C19" s="71">
        <v>0.0033</v>
      </c>
      <c r="D19" s="70">
        <v>27932450</v>
      </c>
      <c r="E19" s="71">
        <v>0.0043</v>
      </c>
      <c r="F19" s="70">
        <f>+'Total Distribution'!F19-'.25% Dist'!F16-'.25% Dist'!F42</f>
        <v>29844599.69</v>
      </c>
      <c r="G19" s="71">
        <v>0.0683</v>
      </c>
      <c r="H19" s="70">
        <v>34461436</v>
      </c>
      <c r="I19" s="71">
        <v>0.1547</v>
      </c>
      <c r="J19" s="5"/>
      <c r="L19" s="5"/>
      <c r="N19" s="188"/>
      <c r="O19" s="70">
        <f>+F46+'.375%'!F16+'.225% Dist.'!F16+'.225% Dist.'!F42+'.25% Dist'!F69+'.0625% Dist'!F17+'.0625% Dist'!F46+'Local &amp; State'!F17+'Local &amp; State'!F39</f>
        <v>29844599.69</v>
      </c>
      <c r="Q19" s="70">
        <f>+H46+'.375%'!H16+'.225% Dist.'!H16+'.225% Dist.'!H42+'.25% Dist'!H69+'.0625% Dist'!H17+'.0625% Dist'!H46+'Local &amp; State'!H17+'Local &amp; State'!H39</f>
        <v>34461436</v>
      </c>
      <c r="R19" s="315">
        <f t="shared" si="0"/>
        <v>0</v>
      </c>
    </row>
    <row r="20" spans="1:18" s="1" customFormat="1" ht="12">
      <c r="A20" s="32" t="s">
        <v>16</v>
      </c>
      <c r="B20" s="70">
        <v>25134096</v>
      </c>
      <c r="C20" s="71">
        <v>-0.094</v>
      </c>
      <c r="D20" s="70">
        <v>25919425</v>
      </c>
      <c r="E20" s="71">
        <v>0.0312</v>
      </c>
      <c r="F20" s="70">
        <f>+'Total Distribution'!F20-'.25% Dist'!F17-'.25% Dist'!F43</f>
        <v>27270522.65</v>
      </c>
      <c r="G20" s="71">
        <v>0.052</v>
      </c>
      <c r="H20" s="70">
        <v>33354555</v>
      </c>
      <c r="I20" s="71">
        <v>0.2231</v>
      </c>
      <c r="N20" s="188"/>
      <c r="O20" s="70">
        <f>+F47+'.375%'!F17+'.225% Dist.'!F17+'.225% Dist.'!F43+'.25% Dist'!F70+'.0625% Dist'!F18+'.0625% Dist'!F47+'Local &amp; State'!F18+'Local &amp; State'!F40</f>
        <v>27270523.65</v>
      </c>
      <c r="Q20" s="70">
        <f>+H47+'.375%'!H17+'.225% Dist.'!H17+'.225% Dist.'!H43+'.25% Dist'!H70+'.0625% Dist'!H18+'.0625% Dist'!H47+'Local &amp; State'!H18+'Local &amp; State'!H40</f>
        <v>33354555</v>
      </c>
      <c r="R20" s="315">
        <f t="shared" si="0"/>
        <v>0</v>
      </c>
    </row>
    <row r="21" spans="1:18" s="1" customFormat="1" ht="12">
      <c r="A21" s="32" t="s">
        <v>17</v>
      </c>
      <c r="B21" s="70">
        <v>25794997</v>
      </c>
      <c r="C21" s="71">
        <v>0.0049</v>
      </c>
      <c r="D21" s="70">
        <v>27220368</v>
      </c>
      <c r="E21" s="71">
        <v>0.0553</v>
      </c>
      <c r="F21" s="70">
        <f>+'Total Distribution'!F21-'.25% Dist'!F18-'.25% Dist'!F44</f>
        <v>34565270.01</v>
      </c>
      <c r="G21" s="71">
        <v>0.2697</v>
      </c>
      <c r="H21" s="70">
        <f>+'Total Distribution'!H21-'.25% Dist'!H44-'.25% Dist'!H18-0.125%</f>
        <v>33341807.698261116</v>
      </c>
      <c r="I21" s="71">
        <f>+H21/F21-1</f>
        <v>-0.03539571111074569</v>
      </c>
      <c r="N21" s="188"/>
      <c r="O21" s="70">
        <f>+F48+'.375%'!F18+'.225% Dist.'!F18+'.225% Dist.'!F44+'.25% Dist'!F71+'.0625% Dist'!F19+'.0625% Dist'!F48+'Local &amp; State'!F19+'Local &amp; State'!F41</f>
        <v>34565269.44</v>
      </c>
      <c r="Q21" s="70">
        <f>+H48+'.375%'!H18+'.225% Dist.'!H18+'.225% Dist.'!H44+'.25% Dist'!H71+'.0625% Dist'!H19+'.0625% Dist'!H48+'Local &amp; State'!H19+'Local &amp; State'!H41</f>
        <v>33341807.69951111</v>
      </c>
      <c r="R21" s="315">
        <f t="shared" si="0"/>
        <v>0.001249995082616806</v>
      </c>
    </row>
    <row r="22" spans="1:9" s="1" customFormat="1" ht="12">
      <c r="A22" s="32"/>
      <c r="B22" s="70"/>
      <c r="C22" s="71"/>
      <c r="D22" s="70"/>
      <c r="E22" s="71"/>
      <c r="F22" s="70"/>
      <c r="G22" s="71"/>
      <c r="H22" s="70"/>
      <c r="I22" s="71"/>
    </row>
    <row r="23" spans="1:15" s="4" customFormat="1" ht="12.75">
      <c r="A23" s="35" t="s">
        <v>139</v>
      </c>
      <c r="B23" s="72"/>
      <c r="C23"/>
      <c r="D23" s="72"/>
      <c r="E23"/>
      <c r="F23" s="72">
        <f>SUM(F10:F21)</f>
        <v>338247941.06999993</v>
      </c>
      <c r="G23" s="75"/>
      <c r="H23" s="74">
        <f>SUM(H10:H21)</f>
        <v>390662957.69826114</v>
      </c>
      <c r="I23" s="75">
        <f>H23/(SUM(F10:F21))-1</f>
        <v>0.15496034199780695</v>
      </c>
      <c r="O23" s="187"/>
    </row>
    <row r="24" spans="1:9" s="4" customFormat="1" ht="11.25">
      <c r="A24" s="36" t="s">
        <v>123</v>
      </c>
      <c r="B24" s="74">
        <f>SUM(B10:B23)</f>
        <v>320111382</v>
      </c>
      <c r="C24" s="71">
        <v>0.0381</v>
      </c>
      <c r="D24" s="74">
        <f>SUM(D10:D21)</f>
        <v>324456028</v>
      </c>
      <c r="E24" s="71">
        <f>D24/B24-1</f>
        <v>0.013572294658363626</v>
      </c>
      <c r="F24" s="74">
        <f>SUM(F10:F21)</f>
        <v>338247941.06999993</v>
      </c>
      <c r="G24" s="71">
        <f>F24/D24-1</f>
        <v>0.04250780346112082</v>
      </c>
      <c r="I24" s="71"/>
    </row>
    <row r="25" spans="2:9" s="4" customFormat="1" ht="11.25">
      <c r="B25" s="70"/>
      <c r="C25" s="34" t="s">
        <v>19</v>
      </c>
      <c r="D25" s="70"/>
      <c r="E25" s="34" t="s">
        <v>19</v>
      </c>
      <c r="F25" s="190"/>
      <c r="G25" s="74" t="s">
        <v>19</v>
      </c>
      <c r="I25" s="34" t="s">
        <v>19</v>
      </c>
    </row>
    <row r="26" spans="1:9" s="4" customFormat="1" ht="11.25">
      <c r="A26" s="36" t="s">
        <v>129</v>
      </c>
      <c r="B26" s="74">
        <v>319993000</v>
      </c>
      <c r="C26" s="71">
        <f>(B24/B26)</f>
        <v>1.0003699518426965</v>
      </c>
      <c r="D26" s="74">
        <v>332011000</v>
      </c>
      <c r="E26" s="71">
        <f>(D24/D26)</f>
        <v>0.9772448141778435</v>
      </c>
      <c r="F26" s="74">
        <v>338202000</v>
      </c>
      <c r="G26" s="71">
        <f>(F24/F26)</f>
        <v>1.0001358391434703</v>
      </c>
      <c r="H26" s="74">
        <v>386295000</v>
      </c>
      <c r="I26" s="75">
        <f>(H23/H26)</f>
        <v>1.0113073109883925</v>
      </c>
    </row>
    <row r="27" spans="3:9" s="4" customFormat="1" ht="11.25">
      <c r="C27" s="67"/>
      <c r="E27" s="67"/>
      <c r="G27" s="67"/>
      <c r="I27" s="67"/>
    </row>
    <row r="28" spans="1:9" ht="12.75">
      <c r="A28" s="1"/>
      <c r="B28" s="32"/>
      <c r="C28" s="77"/>
      <c r="D28" s="77"/>
      <c r="E28" s="78"/>
      <c r="F28" s="34"/>
      <c r="G28" s="34"/>
      <c r="H28" s="1"/>
      <c r="I28" s="1"/>
    </row>
    <row r="29" spans="1:9" ht="12.75">
      <c r="A29" s="1"/>
      <c r="B29" s="32"/>
      <c r="C29" s="78"/>
      <c r="D29" s="77"/>
      <c r="E29" s="77"/>
      <c r="F29" s="34"/>
      <c r="G29" s="34"/>
      <c r="H29" s="4"/>
      <c r="I29" s="1"/>
    </row>
    <row r="30" spans="1:9" ht="12.75">
      <c r="A30" s="1"/>
      <c r="B30" s="1"/>
      <c r="C30" s="1"/>
      <c r="D30" s="1"/>
      <c r="E30" s="1"/>
      <c r="F30" s="1"/>
      <c r="G30" s="1"/>
      <c r="H30" s="1"/>
      <c r="I30" s="1"/>
    </row>
    <row r="31" spans="1:9" ht="12.75">
      <c r="A31" s="73" t="s">
        <v>155</v>
      </c>
      <c r="B31" s="73"/>
      <c r="C31" s="73"/>
      <c r="D31" s="73"/>
      <c r="E31" s="73"/>
      <c r="F31" s="73"/>
      <c r="G31" s="73"/>
      <c r="H31" s="73"/>
      <c r="I31" s="73"/>
    </row>
    <row r="32" spans="1:9" ht="12.75">
      <c r="A32" s="73"/>
      <c r="B32" s="73"/>
      <c r="C32" s="73"/>
      <c r="D32" s="73"/>
      <c r="E32" s="73"/>
      <c r="F32" s="73"/>
      <c r="G32" s="73"/>
      <c r="H32" s="73"/>
      <c r="I32" s="73"/>
    </row>
    <row r="33" spans="1:9" ht="12.75">
      <c r="A33" s="73"/>
      <c r="B33" s="4"/>
      <c r="C33" s="67" t="s">
        <v>3</v>
      </c>
      <c r="D33" s="4"/>
      <c r="E33" s="67" t="s">
        <v>3</v>
      </c>
      <c r="F33" s="4"/>
      <c r="G33" s="67" t="s">
        <v>3</v>
      </c>
      <c r="H33" s="4"/>
      <c r="I33" s="67" t="s">
        <v>3</v>
      </c>
    </row>
    <row r="34" spans="1:9" ht="12.75">
      <c r="A34" s="73"/>
      <c r="B34" s="4"/>
      <c r="C34" s="67" t="s">
        <v>4</v>
      </c>
      <c r="D34" s="4"/>
      <c r="E34" s="67" t="s">
        <v>4</v>
      </c>
      <c r="F34" s="4"/>
      <c r="G34" s="67" t="s">
        <v>4</v>
      </c>
      <c r="H34" s="4"/>
      <c r="I34" s="67" t="s">
        <v>4</v>
      </c>
    </row>
    <row r="35" spans="1:9" ht="12.75">
      <c r="A35" s="77" t="s">
        <v>5</v>
      </c>
      <c r="B35" s="69" t="s">
        <v>211</v>
      </c>
      <c r="C35" s="69" t="s">
        <v>212</v>
      </c>
      <c r="D35" s="69" t="s">
        <v>216</v>
      </c>
      <c r="E35" s="69" t="s">
        <v>217</v>
      </c>
      <c r="F35" s="69" t="s">
        <v>228</v>
      </c>
      <c r="G35" s="69" t="s">
        <v>229</v>
      </c>
      <c r="H35" s="69" t="s">
        <v>239</v>
      </c>
      <c r="I35" s="69" t="s">
        <v>240</v>
      </c>
    </row>
    <row r="36" spans="1:9" ht="12.75">
      <c r="A36" s="32"/>
      <c r="B36" s="34"/>
      <c r="C36" s="34"/>
      <c r="D36" s="34"/>
      <c r="E36" s="34"/>
      <c r="F36" s="34"/>
      <c r="G36" s="34"/>
      <c r="H36" s="34"/>
      <c r="I36" s="34"/>
    </row>
    <row r="37" spans="1:9" ht="12.75">
      <c r="A37" s="32" t="s">
        <v>6</v>
      </c>
      <c r="B37" s="70">
        <v>14161431</v>
      </c>
      <c r="C37" s="71">
        <v>0.1444</v>
      </c>
      <c r="D37" s="70">
        <v>13882548</v>
      </c>
      <c r="E37" s="71">
        <v>-0.0197</v>
      </c>
      <c r="F37" s="70">
        <v>14696105</v>
      </c>
      <c r="G37" s="71">
        <v>0.0586</v>
      </c>
      <c r="H37" s="70">
        <v>14532204</v>
      </c>
      <c r="I37" s="71">
        <v>-0.0112</v>
      </c>
    </row>
    <row r="38" spans="1:9" ht="12.75">
      <c r="A38" s="32" t="s">
        <v>7</v>
      </c>
      <c r="B38" s="70">
        <v>13479014</v>
      </c>
      <c r="C38" s="71">
        <v>0.0356</v>
      </c>
      <c r="D38" s="70">
        <v>12888503</v>
      </c>
      <c r="E38" s="71">
        <v>-0.0438</v>
      </c>
      <c r="F38" s="70">
        <v>13036420</v>
      </c>
      <c r="G38" s="71">
        <v>0.0115</v>
      </c>
      <c r="H38" s="70">
        <v>13521840</v>
      </c>
      <c r="I38" s="71">
        <v>0.0372</v>
      </c>
    </row>
    <row r="39" spans="1:9" ht="12.75">
      <c r="A39" s="32" t="s">
        <v>8</v>
      </c>
      <c r="B39" s="70">
        <v>12573976</v>
      </c>
      <c r="C39" s="71">
        <v>0.0025</v>
      </c>
      <c r="D39" s="70">
        <v>13053024</v>
      </c>
      <c r="E39" s="71">
        <v>0.0381</v>
      </c>
      <c r="F39" s="70">
        <v>12790301</v>
      </c>
      <c r="G39" s="71">
        <v>-0.0201</v>
      </c>
      <c r="H39" s="70">
        <v>13968963</v>
      </c>
      <c r="I39" s="71">
        <v>0.0922</v>
      </c>
    </row>
    <row r="40" spans="1:9" ht="12.75">
      <c r="A40" s="32" t="s">
        <v>9</v>
      </c>
      <c r="B40" s="70">
        <v>12969392</v>
      </c>
      <c r="C40" s="71">
        <v>0.0422</v>
      </c>
      <c r="D40" s="70">
        <v>15488216</v>
      </c>
      <c r="E40" s="71">
        <v>0.1942</v>
      </c>
      <c r="F40" s="70">
        <v>13498915</v>
      </c>
      <c r="G40" s="71">
        <v>-0.1284</v>
      </c>
      <c r="H40" s="70">
        <v>13208737</v>
      </c>
      <c r="I40" s="71">
        <v>-0.0215</v>
      </c>
    </row>
    <row r="41" spans="1:9" ht="12.75">
      <c r="A41" s="32" t="s">
        <v>10</v>
      </c>
      <c r="B41" s="70">
        <v>12611217</v>
      </c>
      <c r="C41" s="71">
        <v>-0.0214</v>
      </c>
      <c r="D41" s="70">
        <v>11099537</v>
      </c>
      <c r="E41" s="71">
        <v>-0.1199</v>
      </c>
      <c r="F41" s="70">
        <v>12996235</v>
      </c>
      <c r="G41" s="71">
        <v>0.1709</v>
      </c>
      <c r="H41" s="70">
        <v>13811017</v>
      </c>
      <c r="I41" s="71">
        <v>0.0627</v>
      </c>
    </row>
    <row r="42" spans="1:9" ht="12.75">
      <c r="A42" s="32" t="s">
        <v>20</v>
      </c>
      <c r="B42" s="70">
        <v>12025247</v>
      </c>
      <c r="C42" s="71">
        <v>-0.0272</v>
      </c>
      <c r="D42" s="70">
        <v>12527445</v>
      </c>
      <c r="E42" s="71">
        <v>0.0418</v>
      </c>
      <c r="F42" s="70">
        <v>12913125</v>
      </c>
      <c r="G42" s="71">
        <v>0.0308</v>
      </c>
      <c r="H42" s="70">
        <v>13142111</v>
      </c>
      <c r="I42" s="71">
        <v>0.0177</v>
      </c>
    </row>
    <row r="43" spans="1:9" ht="12.75">
      <c r="A43" s="32" t="s">
        <v>12</v>
      </c>
      <c r="B43" s="70">
        <v>14122727</v>
      </c>
      <c r="C43" s="71">
        <v>-0.0118</v>
      </c>
      <c r="D43" s="70">
        <v>14997820</v>
      </c>
      <c r="E43" s="71">
        <v>0.062</v>
      </c>
      <c r="F43" s="70">
        <v>14865527</v>
      </c>
      <c r="G43" s="71">
        <v>-0.0088</v>
      </c>
      <c r="H43" s="70">
        <v>15078110</v>
      </c>
      <c r="I43" s="71">
        <v>0.0143</v>
      </c>
    </row>
    <row r="44" spans="1:9" ht="12.75">
      <c r="A44" s="32" t="s">
        <v>13</v>
      </c>
      <c r="B44" s="70">
        <v>12444820</v>
      </c>
      <c r="C44" s="71">
        <v>0.0833</v>
      </c>
      <c r="D44" s="70">
        <v>12284131</v>
      </c>
      <c r="E44" s="71">
        <v>-0.0129</v>
      </c>
      <c r="F44" s="70">
        <v>12722330</v>
      </c>
      <c r="G44" s="71">
        <v>0.0357</v>
      </c>
      <c r="H44" s="70">
        <v>13098897</v>
      </c>
      <c r="I44" s="71">
        <v>0.0296</v>
      </c>
    </row>
    <row r="45" spans="1:9" ht="12.75">
      <c r="A45" s="32" t="s">
        <v>14</v>
      </c>
      <c r="B45" s="70">
        <v>12598527</v>
      </c>
      <c r="C45" s="71">
        <v>0.1054</v>
      </c>
      <c r="D45" s="70">
        <v>11973148</v>
      </c>
      <c r="E45" s="71">
        <v>-0.0496</v>
      </c>
      <c r="F45" s="70">
        <v>12042342</v>
      </c>
      <c r="G45" s="71">
        <v>0.0058</v>
      </c>
      <c r="H45" s="70">
        <v>12733277</v>
      </c>
      <c r="I45" s="71">
        <v>0.0574</v>
      </c>
    </row>
    <row r="46" spans="1:13" ht="12.75">
      <c r="A46" s="32" t="s">
        <v>15</v>
      </c>
      <c r="B46" s="70">
        <v>13505339</v>
      </c>
      <c r="C46" s="71">
        <v>0.0099</v>
      </c>
      <c r="D46" s="70">
        <v>13569945</v>
      </c>
      <c r="E46" s="71">
        <v>0.0048</v>
      </c>
      <c r="F46" s="70">
        <v>14459515</v>
      </c>
      <c r="G46" s="71">
        <v>0.0656</v>
      </c>
      <c r="H46" s="70">
        <v>14371942</v>
      </c>
      <c r="I46" s="71">
        <v>-0.0061</v>
      </c>
      <c r="M46" s="194"/>
    </row>
    <row r="47" spans="1:9" ht="12.75">
      <c r="A47" s="32" t="s">
        <v>16</v>
      </c>
      <c r="B47" s="70">
        <v>12230656</v>
      </c>
      <c r="C47" s="71">
        <v>-0.0851</v>
      </c>
      <c r="D47" s="70">
        <v>12534933</v>
      </c>
      <c r="E47" s="71">
        <v>0.0249</v>
      </c>
      <c r="F47" s="70">
        <v>13224392</v>
      </c>
      <c r="G47" s="71">
        <v>0.055</v>
      </c>
      <c r="H47" s="70">
        <v>13922537</v>
      </c>
      <c r="I47" s="71">
        <v>0.0528</v>
      </c>
    </row>
    <row r="48" spans="1:9" ht="12.75">
      <c r="A48" s="32" t="s">
        <v>17</v>
      </c>
      <c r="B48" s="70">
        <v>12500759</v>
      </c>
      <c r="C48" s="71">
        <v>0.0121</v>
      </c>
      <c r="D48" s="70">
        <v>13230001</v>
      </c>
      <c r="E48" s="71">
        <v>0.0583</v>
      </c>
      <c r="F48" s="70">
        <v>16716542.43</v>
      </c>
      <c r="G48" s="71">
        <f>(F48/D48)-1</f>
        <v>0.26353296798692605</v>
      </c>
      <c r="H48" s="70">
        <f>'Monthly receipts from State'!$F$25</f>
        <v>13886139.52</v>
      </c>
      <c r="I48" s="71">
        <f>(H48/F48)-1</f>
        <v>-0.16931748427357052</v>
      </c>
    </row>
    <row r="49" spans="1:9" ht="12.75">
      <c r="A49" s="32"/>
      <c r="B49" s="70"/>
      <c r="C49" s="71"/>
      <c r="D49" s="70"/>
      <c r="E49" s="71"/>
      <c r="F49" s="70"/>
      <c r="G49" s="71"/>
      <c r="H49" s="70"/>
      <c r="I49" s="71"/>
    </row>
    <row r="50" spans="1:11" ht="12.75">
      <c r="A50" s="35" t="s">
        <v>139</v>
      </c>
      <c r="B50" s="70"/>
      <c r="C50" s="71"/>
      <c r="D50" s="70"/>
      <c r="E50" s="71"/>
      <c r="F50" s="74">
        <f>SUM(F37:F48)</f>
        <v>163961749.43</v>
      </c>
      <c r="G50" s="75"/>
      <c r="H50" s="74">
        <f>SUM(H37:H48)</f>
        <v>165275774.52</v>
      </c>
      <c r="I50" s="75">
        <f>H50/(SUM(F37:F48))-1</f>
        <v>0.008014217307195759</v>
      </c>
      <c r="K50" s="191"/>
    </row>
    <row r="51" spans="1:7" ht="12.75">
      <c r="A51" s="36" t="s">
        <v>123</v>
      </c>
      <c r="B51" s="74">
        <f>SUM(B37:B50)</f>
        <v>155223105</v>
      </c>
      <c r="C51" s="71">
        <v>0.0219</v>
      </c>
      <c r="D51" s="72">
        <f>SUM(D37:D48)</f>
        <v>157529251</v>
      </c>
      <c r="E51" s="71">
        <f>D51/B51-1</f>
        <v>0.014856976350266837</v>
      </c>
      <c r="F51" s="72">
        <f>SUM(F37:F48)</f>
        <v>163961749.43</v>
      </c>
      <c r="G51" s="71">
        <f>F51/D51-1</f>
        <v>0.04083367621674272</v>
      </c>
    </row>
    <row r="52" spans="1:9" ht="12.75">
      <c r="A52" s="73"/>
      <c r="B52" s="34"/>
      <c r="C52" s="34" t="s">
        <v>19</v>
      </c>
      <c r="D52" s="34"/>
      <c r="E52" s="34" t="s">
        <v>19</v>
      </c>
      <c r="F52" s="34"/>
      <c r="G52" s="34" t="s">
        <v>19</v>
      </c>
      <c r="H52" s="34"/>
      <c r="I52" s="34" t="s">
        <v>19</v>
      </c>
    </row>
    <row r="53" spans="1:9" ht="12.75">
      <c r="A53" s="35" t="s">
        <v>121</v>
      </c>
      <c r="B53" s="72">
        <v>154760000</v>
      </c>
      <c r="C53" s="71">
        <f>B51/B53</f>
        <v>1.0029924075988628</v>
      </c>
      <c r="D53" s="72">
        <v>160994000</v>
      </c>
      <c r="E53" s="71">
        <f>D51/D53</f>
        <v>0.978479017851597</v>
      </c>
      <c r="F53" s="72">
        <v>163677000</v>
      </c>
      <c r="G53" s="71">
        <f>F51/F53</f>
        <v>1.0017397033792164</v>
      </c>
      <c r="H53" s="72">
        <v>163733000</v>
      </c>
      <c r="I53" s="71">
        <f>H50/H53</f>
        <v>1.0094225020002077</v>
      </c>
    </row>
    <row r="55" spans="1:9" ht="12.75">
      <c r="A55" s="1"/>
      <c r="B55" s="32"/>
      <c r="C55" s="1"/>
      <c r="D55" s="1"/>
      <c r="E55" s="1"/>
      <c r="F55" s="1"/>
      <c r="G55" s="1"/>
      <c r="H55" s="1"/>
      <c r="I55" s="1"/>
    </row>
    <row r="56" spans="1:9" ht="12.75">
      <c r="A56" s="1"/>
      <c r="B56" s="1"/>
      <c r="C56" s="1"/>
      <c r="D56" s="1"/>
      <c r="E56" s="1"/>
      <c r="F56" s="1"/>
      <c r="G56" s="1"/>
      <c r="H56" s="1"/>
      <c r="I56" s="1"/>
    </row>
    <row r="57" spans="1:9" ht="12.75">
      <c r="A57" s="1"/>
      <c r="C57" s="77"/>
      <c r="D57" s="77"/>
      <c r="E57" s="78"/>
      <c r="F57" s="34"/>
      <c r="G57" s="34"/>
      <c r="H57" s="1"/>
      <c r="I57" s="1"/>
    </row>
  </sheetData>
  <sheetProtection/>
  <printOptions horizontalCentered="1"/>
  <pageMargins left="0.27" right="0.25" top="0.5" bottom="0.5" header="0.5" footer="0.5"/>
  <pageSetup fitToWidth="0" fitToHeight="1" horizontalDpi="600" verticalDpi="600" orientation="portrait" r:id="rId3"/>
  <headerFooter alignWithMargins="0">
    <oddFooter>&amp;CPage 2</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110" zoomScaleNormal="110" zoomScalePageLayoutView="0" workbookViewId="0" topLeftCell="A1">
      <selection activeCell="I21" sqref="I21"/>
    </sheetView>
  </sheetViews>
  <sheetFormatPr defaultColWidth="9.00390625" defaultRowHeight="12.75"/>
  <cols>
    <col min="1" max="1" width="10.00390625" style="4" customWidth="1"/>
    <col min="2" max="2" width="12.00390625" style="4" customWidth="1"/>
    <col min="3" max="3" width="11.25390625" style="4" customWidth="1"/>
    <col min="4" max="4" width="11.75390625" style="4" customWidth="1"/>
    <col min="5" max="5" width="11.25390625" style="4" customWidth="1"/>
    <col min="6" max="6" width="12.00390625" style="4" customWidth="1"/>
    <col min="7" max="7" width="10.375" style="4" customWidth="1"/>
    <col min="8" max="8" width="11.125" style="4" customWidth="1"/>
    <col min="9" max="9" width="11.75390625" style="4" customWidth="1"/>
    <col min="10" max="10" width="10.00390625" style="4" bestFit="1" customWidth="1"/>
    <col min="11" max="11" width="11.375" style="4" bestFit="1" customWidth="1"/>
    <col min="12" max="12" width="10.875" style="4" bestFit="1" customWidth="1"/>
    <col min="13" max="13" width="11.375" style="4" bestFit="1" customWidth="1"/>
    <col min="14" max="14" width="10.00390625" style="4" bestFit="1" customWidth="1"/>
    <col min="15" max="15" width="9.125" style="4" customWidth="1"/>
    <col min="16" max="16" width="10.625" style="190" bestFit="1" customWidth="1"/>
    <col min="17" max="16384" width="9.125" style="4" customWidth="1"/>
  </cols>
  <sheetData>
    <row r="1" spans="1:2" ht="12.75">
      <c r="A1" s="24" t="s">
        <v>243</v>
      </c>
      <c r="B1" s="195"/>
    </row>
    <row r="2" ht="11.25">
      <c r="A2" s="73"/>
    </row>
    <row r="3" spans="1:9" ht="11.25">
      <c r="A3" s="73"/>
      <c r="B3" s="73"/>
      <c r="C3" s="77" t="s">
        <v>3</v>
      </c>
      <c r="D3" s="73"/>
      <c r="E3" s="77" t="s">
        <v>3</v>
      </c>
      <c r="F3" s="73"/>
      <c r="G3" s="77" t="s">
        <v>3</v>
      </c>
      <c r="H3" s="73"/>
      <c r="I3" s="77" t="s">
        <v>3</v>
      </c>
    </row>
    <row r="4" spans="1:9" ht="11.25">
      <c r="A4" s="73"/>
      <c r="B4" s="73"/>
      <c r="C4" s="77" t="s">
        <v>4</v>
      </c>
      <c r="D4" s="73"/>
      <c r="E4" s="77" t="s">
        <v>4</v>
      </c>
      <c r="F4" s="73"/>
      <c r="G4" s="77" t="s">
        <v>4</v>
      </c>
      <c r="H4" s="73"/>
      <c r="I4" s="77" t="s">
        <v>4</v>
      </c>
    </row>
    <row r="5" spans="1:9" ht="11.25">
      <c r="A5" s="77" t="s">
        <v>5</v>
      </c>
      <c r="B5" s="77" t="s">
        <v>211</v>
      </c>
      <c r="C5" s="77" t="s">
        <v>212</v>
      </c>
      <c r="D5" s="77" t="s">
        <v>216</v>
      </c>
      <c r="E5" s="77" t="s">
        <v>217</v>
      </c>
      <c r="F5" s="77" t="s">
        <v>228</v>
      </c>
      <c r="G5" s="77" t="s">
        <v>229</v>
      </c>
      <c r="H5" s="77" t="s">
        <v>239</v>
      </c>
      <c r="I5" s="77" t="s">
        <v>240</v>
      </c>
    </row>
    <row r="6" spans="1:9" ht="11.25">
      <c r="A6" s="32"/>
      <c r="B6" s="34"/>
      <c r="C6" s="34"/>
      <c r="D6" s="34"/>
      <c r="E6" s="34"/>
      <c r="F6" s="34"/>
      <c r="G6" s="34"/>
      <c r="H6" s="34"/>
      <c r="I6" s="34"/>
    </row>
    <row r="7" spans="1:9" ht="11.25">
      <c r="A7" s="32" t="s">
        <v>6</v>
      </c>
      <c r="B7" s="70">
        <v>0</v>
      </c>
      <c r="C7" s="71">
        <v>0</v>
      </c>
      <c r="D7" s="70">
        <v>0</v>
      </c>
      <c r="E7" s="71">
        <v>0</v>
      </c>
      <c r="F7" s="70">
        <v>0</v>
      </c>
      <c r="G7" s="71">
        <v>0</v>
      </c>
      <c r="H7" s="70">
        <v>143448</v>
      </c>
      <c r="I7" s="71" t="s">
        <v>221</v>
      </c>
    </row>
    <row r="8" spans="1:9" ht="11.25">
      <c r="A8" s="32" t="s">
        <v>7</v>
      </c>
      <c r="B8" s="70">
        <v>0</v>
      </c>
      <c r="C8" s="71">
        <v>0</v>
      </c>
      <c r="D8" s="70">
        <v>0</v>
      </c>
      <c r="E8" s="71">
        <v>0</v>
      </c>
      <c r="F8" s="70">
        <v>0</v>
      </c>
      <c r="G8" s="71">
        <v>0</v>
      </c>
      <c r="H8" s="70">
        <v>4362764</v>
      </c>
      <c r="I8" s="71" t="s">
        <v>221</v>
      </c>
    </row>
    <row r="9" spans="1:9" ht="11.25">
      <c r="A9" s="32" t="s">
        <v>8</v>
      </c>
      <c r="B9" s="70">
        <v>0</v>
      </c>
      <c r="C9" s="71">
        <v>0</v>
      </c>
      <c r="D9" s="70">
        <v>0</v>
      </c>
      <c r="E9" s="71">
        <v>0</v>
      </c>
      <c r="F9" s="70">
        <v>0</v>
      </c>
      <c r="G9" s="71">
        <v>0</v>
      </c>
      <c r="H9" s="70">
        <v>4570310</v>
      </c>
      <c r="I9" s="71" t="s">
        <v>221</v>
      </c>
    </row>
    <row r="10" spans="1:9" ht="11.25">
      <c r="A10" s="32" t="s">
        <v>9</v>
      </c>
      <c r="B10" s="70">
        <v>0</v>
      </c>
      <c r="C10" s="71">
        <v>0</v>
      </c>
      <c r="D10" s="70">
        <v>0</v>
      </c>
      <c r="E10" s="71">
        <v>0</v>
      </c>
      <c r="F10" s="70">
        <v>0</v>
      </c>
      <c r="G10" s="71">
        <v>0</v>
      </c>
      <c r="H10" s="70">
        <v>4343550</v>
      </c>
      <c r="I10" s="71" t="s">
        <v>221</v>
      </c>
    </row>
    <row r="11" spans="1:9" ht="11.25">
      <c r="A11" s="32" t="s">
        <v>10</v>
      </c>
      <c r="B11" s="70">
        <v>0</v>
      </c>
      <c r="C11" s="71">
        <v>0</v>
      </c>
      <c r="D11" s="70">
        <v>0</v>
      </c>
      <c r="E11" s="71">
        <v>0</v>
      </c>
      <c r="F11" s="70">
        <v>0</v>
      </c>
      <c r="G11" s="71">
        <v>0</v>
      </c>
      <c r="H11" s="70">
        <v>4600293</v>
      </c>
      <c r="I11" s="71" t="s">
        <v>221</v>
      </c>
    </row>
    <row r="12" spans="1:9" ht="11.25">
      <c r="A12" s="32" t="s">
        <v>20</v>
      </c>
      <c r="B12" s="70">
        <v>0</v>
      </c>
      <c r="C12" s="71">
        <v>0</v>
      </c>
      <c r="D12" s="70">
        <v>0</v>
      </c>
      <c r="E12" s="71">
        <v>0</v>
      </c>
      <c r="F12" s="70">
        <v>0</v>
      </c>
      <c r="G12" s="71">
        <v>0</v>
      </c>
      <c r="H12" s="70">
        <v>4330154</v>
      </c>
      <c r="I12" s="71" t="s">
        <v>221</v>
      </c>
    </row>
    <row r="13" spans="1:9" ht="11.25">
      <c r="A13" s="32" t="s">
        <v>12</v>
      </c>
      <c r="B13" s="70">
        <v>0</v>
      </c>
      <c r="C13" s="71">
        <v>0</v>
      </c>
      <c r="D13" s="70">
        <v>0</v>
      </c>
      <c r="E13" s="71">
        <v>0</v>
      </c>
      <c r="F13" s="70">
        <v>0</v>
      </c>
      <c r="G13" s="71">
        <v>0</v>
      </c>
      <c r="H13" s="70">
        <v>4953907</v>
      </c>
      <c r="I13" s="71" t="s">
        <v>221</v>
      </c>
    </row>
    <row r="14" spans="1:9" ht="11.25">
      <c r="A14" s="32" t="s">
        <v>13</v>
      </c>
      <c r="B14" s="70">
        <v>0</v>
      </c>
      <c r="C14" s="71">
        <v>0</v>
      </c>
      <c r="D14" s="70">
        <v>0</v>
      </c>
      <c r="E14" s="71">
        <v>0</v>
      </c>
      <c r="F14" s="70">
        <v>0</v>
      </c>
      <c r="G14" s="71">
        <v>0</v>
      </c>
      <c r="H14" s="70">
        <v>4287552</v>
      </c>
      <c r="I14" s="71" t="s">
        <v>221</v>
      </c>
    </row>
    <row r="15" spans="1:9" ht="11.25">
      <c r="A15" s="32" t="s">
        <v>14</v>
      </c>
      <c r="B15" s="70">
        <v>0</v>
      </c>
      <c r="C15" s="71">
        <v>0</v>
      </c>
      <c r="D15" s="70">
        <v>0</v>
      </c>
      <c r="E15" s="71">
        <v>0</v>
      </c>
      <c r="F15" s="70">
        <v>0</v>
      </c>
      <c r="G15" s="71">
        <v>0</v>
      </c>
      <c r="H15" s="70">
        <v>4199152</v>
      </c>
      <c r="I15" s="71" t="s">
        <v>221</v>
      </c>
    </row>
    <row r="16" spans="1:9" ht="11.25">
      <c r="A16" s="32" t="s">
        <v>15</v>
      </c>
      <c r="B16" s="70">
        <v>0</v>
      </c>
      <c r="C16" s="71">
        <v>0</v>
      </c>
      <c r="D16" s="70">
        <v>0</v>
      </c>
      <c r="E16" s="71">
        <v>0</v>
      </c>
      <c r="F16" s="70">
        <v>0</v>
      </c>
      <c r="G16" s="71">
        <v>0</v>
      </c>
      <c r="H16" s="70">
        <v>4749245</v>
      </c>
      <c r="I16" s="71" t="s">
        <v>221</v>
      </c>
    </row>
    <row r="17" spans="1:9" ht="11.25">
      <c r="A17" s="32" t="s">
        <v>16</v>
      </c>
      <c r="B17" s="70">
        <v>0</v>
      </c>
      <c r="C17" s="71">
        <v>0</v>
      </c>
      <c r="D17" s="70">
        <v>0</v>
      </c>
      <c r="E17" s="71">
        <v>0</v>
      </c>
      <c r="F17" s="70">
        <v>0</v>
      </c>
      <c r="G17" s="71">
        <v>0</v>
      </c>
      <c r="H17" s="70">
        <v>4728319</v>
      </c>
      <c r="I17" s="71" t="s">
        <v>221</v>
      </c>
    </row>
    <row r="18" spans="1:9" ht="11.25">
      <c r="A18" s="32" t="s">
        <v>17</v>
      </c>
      <c r="B18" s="70">
        <v>0</v>
      </c>
      <c r="C18" s="71">
        <v>0</v>
      </c>
      <c r="D18" s="70">
        <v>0</v>
      </c>
      <c r="E18" s="71">
        <v>0</v>
      </c>
      <c r="F18" s="70">
        <v>0</v>
      </c>
      <c r="G18" s="71">
        <v>0</v>
      </c>
      <c r="H18" s="70">
        <f>+'Monthly receipts from State'!$F$27</f>
        <v>4722804.83</v>
      </c>
      <c r="I18" s="71" t="s">
        <v>221</v>
      </c>
    </row>
    <row r="19" spans="2:9" ht="11.25">
      <c r="B19" s="72"/>
      <c r="C19" s="71"/>
      <c r="D19" s="72"/>
      <c r="E19" s="71"/>
      <c r="F19" s="72"/>
      <c r="G19" s="71"/>
      <c r="H19" s="72"/>
      <c r="I19" s="71"/>
    </row>
    <row r="20" spans="1:11" s="5" customFormat="1" ht="12.75">
      <c r="A20" s="35" t="s">
        <v>139</v>
      </c>
      <c r="B20" s="70"/>
      <c r="C20" s="71"/>
      <c r="D20" s="70"/>
      <c r="E20" s="71"/>
      <c r="F20" s="74">
        <f>SUM(F7:F18)</f>
        <v>0</v>
      </c>
      <c r="G20" s="75"/>
      <c r="H20" s="74">
        <f>SUM(H7:H18)</f>
        <v>49991498.83</v>
      </c>
      <c r="I20" s="316" t="e">
        <f>H20/(SUM(F7:F18))-1</f>
        <v>#DIV/0!</v>
      </c>
      <c r="K20" s="191"/>
    </row>
    <row r="21" spans="1:12" ht="11.25">
      <c r="A21" s="36" t="s">
        <v>123</v>
      </c>
      <c r="B21" s="72">
        <f>SUM(B7:B20)</f>
        <v>0</v>
      </c>
      <c r="C21" s="71">
        <v>0</v>
      </c>
      <c r="D21" s="72">
        <f>SUM(D7:D18)</f>
        <v>0</v>
      </c>
      <c r="E21" s="71">
        <v>0</v>
      </c>
      <c r="F21" s="72">
        <f>SUM(F7:F18)</f>
        <v>0</v>
      </c>
      <c r="G21" s="71">
        <v>0</v>
      </c>
      <c r="H21" s="72"/>
      <c r="I21" s="71"/>
      <c r="K21" s="183"/>
      <c r="L21" s="183"/>
    </row>
    <row r="22" spans="1:9" ht="11.25">
      <c r="A22" s="73"/>
      <c r="B22" s="34"/>
      <c r="C22" s="34" t="s">
        <v>19</v>
      </c>
      <c r="D22" s="34"/>
      <c r="E22" s="34" t="s">
        <v>19</v>
      </c>
      <c r="F22" s="34"/>
      <c r="G22" s="34" t="s">
        <v>19</v>
      </c>
      <c r="H22" s="34"/>
      <c r="I22" s="34" t="s">
        <v>19</v>
      </c>
    </row>
    <row r="23" spans="1:9" ht="11.25">
      <c r="A23" s="35" t="s">
        <v>122</v>
      </c>
      <c r="B23" s="72">
        <v>0</v>
      </c>
      <c r="C23" s="71">
        <v>0</v>
      </c>
      <c r="D23" s="72">
        <v>0</v>
      </c>
      <c r="E23" s="71">
        <v>0</v>
      </c>
      <c r="F23" s="72">
        <v>0</v>
      </c>
      <c r="G23" s="71">
        <v>0</v>
      </c>
      <c r="H23" s="72">
        <v>49643000</v>
      </c>
      <c r="I23" s="71">
        <f>H20/H23</f>
        <v>1.0070201001148198</v>
      </c>
    </row>
    <row r="24" ht="11.25"/>
    <row r="25" spans="1:9" ht="11.25">
      <c r="A25" s="73"/>
      <c r="B25" s="73"/>
      <c r="C25" s="73"/>
      <c r="D25" s="73"/>
      <c r="E25" s="73"/>
      <c r="F25" s="73"/>
      <c r="G25" s="73"/>
      <c r="H25" s="73"/>
      <c r="I25" s="73"/>
    </row>
    <row r="26" spans="1:9" ht="11.25">
      <c r="A26" s="73"/>
      <c r="B26" s="73"/>
      <c r="C26" s="73"/>
      <c r="D26" s="73"/>
      <c r="E26" s="73"/>
      <c r="F26" s="73"/>
      <c r="G26" s="73"/>
      <c r="H26" s="73"/>
      <c r="I26" s="73"/>
    </row>
    <row r="27" spans="1:9" ht="11.25">
      <c r="A27" s="73"/>
      <c r="B27" s="73"/>
      <c r="C27" s="73"/>
      <c r="D27" s="73"/>
      <c r="E27" s="73"/>
      <c r="F27" s="73"/>
      <c r="G27" s="73"/>
      <c r="H27" s="73"/>
      <c r="I27" s="73"/>
    </row>
    <row r="28" spans="1:9" ht="11.25">
      <c r="A28" s="73"/>
      <c r="B28" s="73"/>
      <c r="C28" s="73"/>
      <c r="D28" s="73"/>
      <c r="E28" s="73"/>
      <c r="F28" s="73"/>
      <c r="G28" s="73"/>
      <c r="H28" s="73"/>
      <c r="I28" s="73"/>
    </row>
    <row r="29" spans="1:9" ht="11.25">
      <c r="A29" s="77"/>
      <c r="B29" s="73"/>
      <c r="C29" s="77"/>
      <c r="D29" s="73"/>
      <c r="E29" s="77"/>
      <c r="F29" s="73"/>
      <c r="G29" s="77"/>
      <c r="H29" s="73"/>
      <c r="I29" s="77"/>
    </row>
    <row r="30" spans="1:9" ht="11.25">
      <c r="A30" s="77"/>
      <c r="B30" s="73"/>
      <c r="C30" s="77"/>
      <c r="D30" s="73"/>
      <c r="E30" s="77"/>
      <c r="F30" s="73"/>
      <c r="G30" s="77"/>
      <c r="H30" s="73"/>
      <c r="I30" s="77"/>
    </row>
    <row r="31" spans="1:9" ht="11.25">
      <c r="A31" s="77"/>
      <c r="B31" s="77"/>
      <c r="C31" s="77"/>
      <c r="D31" s="77"/>
      <c r="E31" s="77"/>
      <c r="F31" s="77"/>
      <c r="G31" s="77"/>
      <c r="H31" s="77"/>
      <c r="I31" s="77"/>
    </row>
    <row r="32" spans="1:9" ht="11.25">
      <c r="A32" s="32"/>
      <c r="B32" s="70"/>
      <c r="C32" s="34"/>
      <c r="D32" s="70"/>
      <c r="E32" s="34"/>
      <c r="F32" s="70"/>
      <c r="G32" s="34"/>
      <c r="H32" s="70"/>
      <c r="I32" s="34"/>
    </row>
    <row r="33" spans="1:15" ht="11.25">
      <c r="A33" s="32"/>
      <c r="B33" s="70"/>
      <c r="C33" s="71"/>
      <c r="D33" s="70"/>
      <c r="E33" s="71"/>
      <c r="F33" s="70"/>
      <c r="G33" s="71"/>
      <c r="H33" s="70"/>
      <c r="I33" s="71"/>
      <c r="J33" s="183"/>
      <c r="K33" s="183"/>
      <c r="L33" s="70"/>
      <c r="M33" s="183"/>
      <c r="N33" s="185"/>
      <c r="O33" s="190"/>
    </row>
    <row r="34" spans="1:15" ht="11.25">
      <c r="A34" s="32"/>
      <c r="B34" s="70"/>
      <c r="C34" s="71"/>
      <c r="D34" s="70"/>
      <c r="E34" s="71"/>
      <c r="F34" s="70"/>
      <c r="G34" s="71"/>
      <c r="H34" s="70"/>
      <c r="I34" s="71"/>
      <c r="J34" s="183"/>
      <c r="K34" s="183"/>
      <c r="L34" s="70"/>
      <c r="N34" s="185"/>
      <c r="O34" s="190"/>
    </row>
    <row r="35" spans="1:15" ht="11.25">
      <c r="A35" s="32"/>
      <c r="B35" s="70"/>
      <c r="C35" s="71"/>
      <c r="D35" s="70"/>
      <c r="E35" s="71"/>
      <c r="F35" s="70"/>
      <c r="G35" s="71"/>
      <c r="H35" s="70"/>
      <c r="I35" s="71"/>
      <c r="J35" s="183"/>
      <c r="K35" s="183"/>
      <c r="L35" s="70"/>
      <c r="N35" s="185"/>
      <c r="O35" s="190"/>
    </row>
    <row r="36" spans="1:15" ht="11.25">
      <c r="A36" s="32"/>
      <c r="B36" s="70"/>
      <c r="C36" s="71"/>
      <c r="D36" s="70"/>
      <c r="E36" s="71"/>
      <c r="F36" s="70"/>
      <c r="G36" s="71"/>
      <c r="H36" s="70"/>
      <c r="I36" s="71"/>
      <c r="J36" s="183"/>
      <c r="K36" s="183"/>
      <c r="L36" s="70"/>
      <c r="N36" s="185"/>
      <c r="O36" s="190"/>
    </row>
    <row r="37" spans="1:15" ht="11.25">
      <c r="A37" s="32"/>
      <c r="B37" s="70"/>
      <c r="C37" s="71"/>
      <c r="D37" s="70"/>
      <c r="E37" s="71"/>
      <c r="F37" s="70"/>
      <c r="G37" s="71"/>
      <c r="H37" s="70"/>
      <c r="I37" s="71"/>
      <c r="J37" s="183"/>
      <c r="K37" s="183"/>
      <c r="L37" s="70"/>
      <c r="N37" s="185"/>
      <c r="O37" s="190"/>
    </row>
    <row r="38" spans="1:15" ht="11.25">
      <c r="A38" s="32"/>
      <c r="B38" s="70"/>
      <c r="C38" s="71"/>
      <c r="D38" s="70"/>
      <c r="E38" s="71"/>
      <c r="F38" s="70"/>
      <c r="G38" s="71"/>
      <c r="H38" s="70"/>
      <c r="I38" s="71"/>
      <c r="J38" s="183"/>
      <c r="K38" s="183"/>
      <c r="L38" s="70"/>
      <c r="N38" s="185"/>
      <c r="O38" s="190"/>
    </row>
    <row r="39" spans="1:15" ht="11.25">
      <c r="A39" s="32"/>
      <c r="B39" s="70"/>
      <c r="C39" s="71"/>
      <c r="D39" s="70"/>
      <c r="E39" s="71"/>
      <c r="F39" s="70"/>
      <c r="G39" s="71"/>
      <c r="H39" s="70"/>
      <c r="I39" s="71"/>
      <c r="J39" s="183"/>
      <c r="K39" s="183"/>
      <c r="L39" s="70"/>
      <c r="N39" s="185"/>
      <c r="O39" s="190"/>
    </row>
    <row r="40" spans="1:15" ht="11.25">
      <c r="A40" s="32"/>
      <c r="B40" s="70"/>
      <c r="C40" s="71"/>
      <c r="D40" s="70"/>
      <c r="E40" s="71"/>
      <c r="F40" s="70"/>
      <c r="G40" s="71"/>
      <c r="H40" s="70"/>
      <c r="I40" s="71"/>
      <c r="J40" s="183"/>
      <c r="K40" s="183"/>
      <c r="L40" s="70"/>
      <c r="N40" s="185"/>
      <c r="O40" s="190"/>
    </row>
    <row r="41" spans="1:15" ht="11.25">
      <c r="A41" s="32"/>
      <c r="B41" s="70"/>
      <c r="C41" s="71"/>
      <c r="D41" s="70"/>
      <c r="E41" s="71"/>
      <c r="F41" s="70"/>
      <c r="G41" s="71"/>
      <c r="H41" s="70"/>
      <c r="I41" s="71"/>
      <c r="J41" s="183"/>
      <c r="K41" s="183"/>
      <c r="L41" s="70"/>
      <c r="N41" s="185"/>
      <c r="O41" s="190"/>
    </row>
    <row r="42" spans="1:15" ht="11.25">
      <c r="A42" s="32"/>
      <c r="B42" s="70"/>
      <c r="C42" s="71"/>
      <c r="D42" s="70"/>
      <c r="E42" s="71"/>
      <c r="F42" s="70"/>
      <c r="G42" s="71"/>
      <c r="H42" s="70"/>
      <c r="I42" s="71"/>
      <c r="J42" s="183"/>
      <c r="K42" s="183"/>
      <c r="L42" s="70"/>
      <c r="N42" s="185"/>
      <c r="O42" s="190"/>
    </row>
    <row r="43" spans="1:15" ht="11.25">
      <c r="A43" s="32"/>
      <c r="B43" s="70"/>
      <c r="C43" s="71"/>
      <c r="D43" s="70"/>
      <c r="E43" s="71"/>
      <c r="F43" s="70"/>
      <c r="G43" s="71"/>
      <c r="H43" s="70"/>
      <c r="I43" s="71"/>
      <c r="J43" s="183"/>
      <c r="K43" s="183"/>
      <c r="L43" s="70"/>
      <c r="N43" s="190"/>
      <c r="O43" s="190"/>
    </row>
    <row r="44" spans="1:15" ht="11.25">
      <c r="A44" s="32"/>
      <c r="B44" s="70"/>
      <c r="C44" s="71"/>
      <c r="D44" s="70"/>
      <c r="E44" s="71"/>
      <c r="F44" s="70"/>
      <c r="G44" s="71"/>
      <c r="H44" s="70"/>
      <c r="I44" s="71"/>
      <c r="J44" s="183"/>
      <c r="K44" s="183"/>
      <c r="L44" s="70"/>
      <c r="N44" s="185"/>
      <c r="O44" s="190"/>
    </row>
    <row r="45" spans="2:9" ht="11.25">
      <c r="B45" s="72"/>
      <c r="C45" s="71"/>
      <c r="D45" s="72"/>
      <c r="E45" s="71"/>
      <c r="F45" s="72"/>
      <c r="G45" s="71"/>
      <c r="H45" s="72"/>
      <c r="I45" s="71"/>
    </row>
    <row r="46" spans="1:11" s="5" customFormat="1" ht="12.75">
      <c r="A46" s="35"/>
      <c r="B46" s="70"/>
      <c r="C46" s="71"/>
      <c r="D46" s="70"/>
      <c r="E46" s="71"/>
      <c r="F46" s="74"/>
      <c r="G46" s="75"/>
      <c r="H46" s="74"/>
      <c r="I46" s="75"/>
      <c r="K46" s="191"/>
    </row>
    <row r="47" spans="1:14" ht="11.25">
      <c r="A47" s="36"/>
      <c r="B47" s="72"/>
      <c r="C47" s="71"/>
      <c r="D47" s="72"/>
      <c r="E47" s="71"/>
      <c r="F47" s="72"/>
      <c r="G47" s="71"/>
      <c r="H47" s="72"/>
      <c r="I47" s="71"/>
      <c r="J47" s="72"/>
      <c r="K47" s="186"/>
      <c r="L47" s="183"/>
      <c r="M47" s="183"/>
      <c r="N47" s="183"/>
    </row>
    <row r="48" spans="1:12" ht="11.25">
      <c r="A48" s="73"/>
      <c r="B48" s="34"/>
      <c r="C48" s="34"/>
      <c r="D48" s="34"/>
      <c r="E48" s="34"/>
      <c r="F48" s="34"/>
      <c r="G48" s="34"/>
      <c r="H48" s="34"/>
      <c r="I48" s="34"/>
      <c r="L48" s="184"/>
    </row>
    <row r="49" spans="1:13" ht="11.25">
      <c r="A49" s="35"/>
      <c r="B49" s="72"/>
      <c r="C49" s="71"/>
      <c r="D49" s="72"/>
      <c r="E49" s="71"/>
      <c r="F49" s="72"/>
      <c r="G49" s="71"/>
      <c r="H49" s="72"/>
      <c r="I49" s="104"/>
      <c r="L49" s="183"/>
      <c r="M49" s="183"/>
    </row>
    <row r="50" ht="11.25"/>
    <row r="51" spans="2:7" ht="11.25">
      <c r="B51" s="32"/>
      <c r="C51" s="73"/>
      <c r="D51" s="73"/>
      <c r="E51" s="73"/>
      <c r="F51" s="192"/>
      <c r="G51" s="73"/>
    </row>
    <row r="52" spans="2:7" ht="11.25">
      <c r="B52" s="32"/>
      <c r="C52" s="73"/>
      <c r="D52" s="73"/>
      <c r="E52" s="73"/>
      <c r="F52" s="73"/>
      <c r="G52" s="73"/>
    </row>
  </sheetData>
  <sheetProtection/>
  <printOptions horizontalCentered="1"/>
  <pageMargins left="0.25" right="0" top="0.32" bottom="0.58" header="0.25" footer="0.31"/>
  <pageSetup fitToWidth="0" fitToHeight="1" horizontalDpi="600" verticalDpi="600" orientation="portrait" r:id="rId3"/>
  <headerFooter alignWithMargins="0">
    <oddFooter>&amp;CPage 3</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52"/>
  <sheetViews>
    <sheetView zoomScale="110" zoomScaleNormal="110" zoomScalePageLayoutView="0" workbookViewId="0" topLeftCell="A1">
      <selection activeCell="I25" sqref="I25"/>
    </sheetView>
  </sheetViews>
  <sheetFormatPr defaultColWidth="9.00390625" defaultRowHeight="12.75"/>
  <cols>
    <col min="1" max="1" width="10.00390625" style="4" customWidth="1"/>
    <col min="2" max="2" width="12.00390625" style="4" customWidth="1"/>
    <col min="3" max="3" width="11.25390625" style="4" customWidth="1"/>
    <col min="4" max="4" width="11.75390625" style="4" customWidth="1"/>
    <col min="5" max="5" width="11.25390625" style="4" customWidth="1"/>
    <col min="6" max="6" width="12.00390625" style="4" customWidth="1"/>
    <col min="7" max="7" width="10.375" style="4" customWidth="1"/>
    <col min="8" max="8" width="11.125" style="4" customWidth="1"/>
    <col min="9" max="9" width="11.75390625" style="4" customWidth="1"/>
    <col min="10" max="10" width="10.00390625" style="4" bestFit="1" customWidth="1"/>
    <col min="11" max="11" width="11.375" style="4" bestFit="1" customWidth="1"/>
    <col min="12" max="12" width="10.875" style="4" bestFit="1" customWidth="1"/>
    <col min="13" max="13" width="11.375" style="4" bestFit="1" customWidth="1"/>
    <col min="14" max="14" width="10.00390625" style="4" bestFit="1" customWidth="1"/>
    <col min="15" max="15" width="9.125" style="4" customWidth="1"/>
    <col min="16" max="16" width="10.625" style="190" bestFit="1" customWidth="1"/>
    <col min="17" max="16384" width="9.125" style="4" customWidth="1"/>
  </cols>
  <sheetData>
    <row r="1" ht="11.25">
      <c r="A1" s="73" t="s">
        <v>21</v>
      </c>
    </row>
    <row r="2" ht="11.25">
      <c r="A2" s="73"/>
    </row>
    <row r="3" spans="1:9" ht="11.25">
      <c r="A3" s="73"/>
      <c r="B3" s="73"/>
      <c r="C3" s="77" t="s">
        <v>3</v>
      </c>
      <c r="D3" s="73"/>
      <c r="E3" s="77" t="s">
        <v>3</v>
      </c>
      <c r="F3" s="73"/>
      <c r="G3" s="77" t="s">
        <v>3</v>
      </c>
      <c r="H3" s="73"/>
      <c r="I3" s="77" t="s">
        <v>3</v>
      </c>
    </row>
    <row r="4" spans="1:9" ht="11.25">
      <c r="A4" s="73"/>
      <c r="B4" s="73"/>
      <c r="C4" s="77" t="s">
        <v>4</v>
      </c>
      <c r="D4" s="73"/>
      <c r="E4" s="77" t="s">
        <v>4</v>
      </c>
      <c r="F4" s="73"/>
      <c r="G4" s="77" t="s">
        <v>4</v>
      </c>
      <c r="H4" s="73"/>
      <c r="I4" s="77" t="s">
        <v>4</v>
      </c>
    </row>
    <row r="5" spans="1:9" ht="11.25">
      <c r="A5" s="77" t="s">
        <v>5</v>
      </c>
      <c r="B5" s="77" t="s">
        <v>211</v>
      </c>
      <c r="C5" s="77" t="s">
        <v>212</v>
      </c>
      <c r="D5" s="77" t="s">
        <v>216</v>
      </c>
      <c r="E5" s="77" t="s">
        <v>217</v>
      </c>
      <c r="F5" s="77" t="s">
        <v>228</v>
      </c>
      <c r="G5" s="77" t="s">
        <v>229</v>
      </c>
      <c r="H5" s="77" t="s">
        <v>239</v>
      </c>
      <c r="I5" s="77" t="s">
        <v>240</v>
      </c>
    </row>
    <row r="6" spans="1:9" ht="11.25">
      <c r="A6" s="32"/>
      <c r="B6" s="34"/>
      <c r="C6" s="34"/>
      <c r="D6" s="34"/>
      <c r="E6" s="34"/>
      <c r="F6" s="34"/>
      <c r="G6" s="34"/>
      <c r="H6" s="34"/>
      <c r="I6" s="34"/>
    </row>
    <row r="7" spans="1:9" ht="11.25">
      <c r="A7" s="32" t="s">
        <v>6</v>
      </c>
      <c r="B7" s="70">
        <v>3186886</v>
      </c>
      <c r="C7" s="71">
        <v>0.1444</v>
      </c>
      <c r="D7" s="70">
        <v>3124126</v>
      </c>
      <c r="E7" s="71">
        <v>-0.0197</v>
      </c>
      <c r="F7" s="70">
        <v>3307209</v>
      </c>
      <c r="G7" s="71">
        <v>0.0586</v>
      </c>
      <c r="H7" s="70">
        <v>3270324</v>
      </c>
      <c r="I7" s="71">
        <v>-0.0112</v>
      </c>
    </row>
    <row r="8" spans="1:9" ht="11.25">
      <c r="A8" s="32" t="s">
        <v>7</v>
      </c>
      <c r="B8" s="70">
        <v>3033315</v>
      </c>
      <c r="C8" s="71">
        <v>0.0356</v>
      </c>
      <c r="D8" s="70">
        <v>2900426</v>
      </c>
      <c r="E8" s="71">
        <v>-0.0438</v>
      </c>
      <c r="F8" s="70">
        <v>2933714</v>
      </c>
      <c r="G8" s="71">
        <v>0.0115</v>
      </c>
      <c r="H8" s="70">
        <v>3042952</v>
      </c>
      <c r="I8" s="71">
        <v>0.0372</v>
      </c>
    </row>
    <row r="9" spans="1:9" ht="11.25">
      <c r="A9" s="32" t="s">
        <v>8</v>
      </c>
      <c r="B9" s="70">
        <v>2829645</v>
      </c>
      <c r="C9" s="71">
        <v>0.0025</v>
      </c>
      <c r="D9" s="70">
        <v>2937450</v>
      </c>
      <c r="E9" s="71">
        <v>0.0381</v>
      </c>
      <c r="F9" s="70">
        <v>2878327</v>
      </c>
      <c r="G9" s="71">
        <v>-0.0201</v>
      </c>
      <c r="H9" s="70">
        <v>3143573</v>
      </c>
      <c r="I9" s="71">
        <v>0.0922</v>
      </c>
    </row>
    <row r="10" spans="1:9" ht="11.25">
      <c r="A10" s="32" t="s">
        <v>9</v>
      </c>
      <c r="B10" s="70">
        <v>2918630</v>
      </c>
      <c r="C10" s="71">
        <v>0.0422</v>
      </c>
      <c r="D10" s="70">
        <v>3485465</v>
      </c>
      <c r="E10" s="71">
        <v>0.1942</v>
      </c>
      <c r="F10" s="70">
        <v>3037793</v>
      </c>
      <c r="G10" s="71">
        <v>-0.1284</v>
      </c>
      <c r="H10" s="70">
        <v>2972492</v>
      </c>
      <c r="I10" s="71">
        <v>-0.0215</v>
      </c>
    </row>
    <row r="11" spans="1:9" ht="11.25">
      <c r="A11" s="32" t="s">
        <v>10</v>
      </c>
      <c r="B11" s="70">
        <v>2838026</v>
      </c>
      <c r="C11" s="71">
        <v>-0.0214</v>
      </c>
      <c r="D11" s="70">
        <v>2497838</v>
      </c>
      <c r="E11" s="71">
        <v>-0.1199</v>
      </c>
      <c r="F11" s="70">
        <v>2924670</v>
      </c>
      <c r="G11" s="71">
        <v>0.1709</v>
      </c>
      <c r="H11" s="70">
        <v>3108029</v>
      </c>
      <c r="I11" s="71">
        <v>0.0627</v>
      </c>
    </row>
    <row r="12" spans="1:9" ht="11.25">
      <c r="A12" s="32" t="s">
        <v>20</v>
      </c>
      <c r="B12" s="70">
        <v>2706159</v>
      </c>
      <c r="C12" s="71">
        <v>-0.0272</v>
      </c>
      <c r="D12" s="70">
        <v>2819174</v>
      </c>
      <c r="E12" s="71">
        <v>0.0418</v>
      </c>
      <c r="F12" s="70">
        <v>2905967</v>
      </c>
      <c r="G12" s="71">
        <v>0.0308</v>
      </c>
      <c r="H12" s="70">
        <v>2957498</v>
      </c>
      <c r="I12" s="71">
        <v>0.0177</v>
      </c>
    </row>
    <row r="13" spans="1:9" ht="11.25">
      <c r="A13" s="32" t="s">
        <v>12</v>
      </c>
      <c r="B13" s="70">
        <v>3178176</v>
      </c>
      <c r="C13" s="71">
        <v>-0.0118</v>
      </c>
      <c r="D13" s="70">
        <v>3375107</v>
      </c>
      <c r="E13" s="71">
        <v>0.062</v>
      </c>
      <c r="F13" s="70">
        <v>3345335</v>
      </c>
      <c r="G13" s="71">
        <v>-0.0088</v>
      </c>
      <c r="H13" s="70">
        <v>3393175</v>
      </c>
      <c r="I13" s="71">
        <v>0.0143</v>
      </c>
    </row>
    <row r="14" spans="1:9" ht="11.25">
      <c r="A14" s="32" t="s">
        <v>13</v>
      </c>
      <c r="B14" s="70">
        <v>2800580</v>
      </c>
      <c r="C14" s="71">
        <v>0.0833</v>
      </c>
      <c r="D14" s="70">
        <v>2764418</v>
      </c>
      <c r="E14" s="71">
        <v>-0.0129</v>
      </c>
      <c r="F14" s="70">
        <v>2863031</v>
      </c>
      <c r="G14" s="71">
        <v>0.0357</v>
      </c>
      <c r="H14" s="70">
        <v>2947773</v>
      </c>
      <c r="I14" s="71">
        <v>0.0296</v>
      </c>
    </row>
    <row r="15" spans="1:9" ht="11.25">
      <c r="A15" s="32" t="s">
        <v>14</v>
      </c>
      <c r="B15" s="70">
        <v>2835170</v>
      </c>
      <c r="C15" s="71">
        <v>0.1054</v>
      </c>
      <c r="D15" s="70">
        <v>2694435</v>
      </c>
      <c r="E15" s="71">
        <v>-0.0496</v>
      </c>
      <c r="F15" s="70">
        <v>2710006</v>
      </c>
      <c r="G15" s="71">
        <v>0.0058</v>
      </c>
      <c r="H15" s="70">
        <v>2865494</v>
      </c>
      <c r="I15" s="71">
        <v>0.0574</v>
      </c>
    </row>
    <row r="16" spans="1:9" ht="11.25">
      <c r="A16" s="32" t="s">
        <v>15</v>
      </c>
      <c r="B16" s="70">
        <v>3039239</v>
      </c>
      <c r="C16" s="71">
        <v>0.99</v>
      </c>
      <c r="D16" s="70">
        <v>3053778</v>
      </c>
      <c r="E16" s="71">
        <v>0.048</v>
      </c>
      <c r="F16" s="70">
        <v>3253966</v>
      </c>
      <c r="G16" s="71">
        <v>0.0656</v>
      </c>
      <c r="H16" s="70">
        <v>3234259</v>
      </c>
      <c r="I16" s="71">
        <v>-0.0061</v>
      </c>
    </row>
    <row r="17" spans="1:9" ht="11.25">
      <c r="A17" s="32" t="s">
        <v>16</v>
      </c>
      <c r="B17" s="70">
        <v>2752385</v>
      </c>
      <c r="C17" s="71">
        <v>-0.0851</v>
      </c>
      <c r="D17" s="70">
        <v>2820859</v>
      </c>
      <c r="E17" s="71">
        <v>0.0249</v>
      </c>
      <c r="F17" s="70">
        <v>2976015</v>
      </c>
      <c r="G17" s="71">
        <v>0.055</v>
      </c>
      <c r="H17" s="70">
        <v>3133125</v>
      </c>
      <c r="I17" s="71">
        <v>0.0528</v>
      </c>
    </row>
    <row r="18" spans="1:9" ht="11.25">
      <c r="A18" s="32" t="s">
        <v>17</v>
      </c>
      <c r="B18" s="70">
        <v>2813168</v>
      </c>
      <c r="C18" s="71">
        <v>0.0121</v>
      </c>
      <c r="D18" s="70">
        <v>2977277</v>
      </c>
      <c r="E18" s="71">
        <v>0.0583</v>
      </c>
      <c r="F18" s="70">
        <v>3761888</v>
      </c>
      <c r="G18" s="71">
        <v>0.2635</v>
      </c>
      <c r="H18" s="70">
        <f>'Monthly receipts from State'!$F$26</f>
        <v>3124934.25</v>
      </c>
      <c r="I18" s="71">
        <f>+H18/F18-1</f>
        <v>-0.1693175740479249</v>
      </c>
    </row>
    <row r="19" spans="2:9" ht="11.25">
      <c r="B19" s="72"/>
      <c r="C19" s="71"/>
      <c r="D19" s="72"/>
      <c r="E19" s="71"/>
      <c r="F19" s="72"/>
      <c r="G19" s="71"/>
      <c r="H19" s="72"/>
      <c r="I19" s="71"/>
    </row>
    <row r="20" spans="1:11" s="5" customFormat="1" ht="12.75">
      <c r="A20" s="35" t="s">
        <v>139</v>
      </c>
      <c r="B20" s="70"/>
      <c r="C20" s="71"/>
      <c r="D20" s="70"/>
      <c r="E20" s="71"/>
      <c r="F20" s="74">
        <f>SUM(F7:F18)</f>
        <v>36897921</v>
      </c>
      <c r="G20" s="75"/>
      <c r="H20" s="74">
        <f>SUM(H7:H18)</f>
        <v>37193628.25</v>
      </c>
      <c r="I20" s="75">
        <f>H20/(SUM(F7:F18))-1</f>
        <v>0.008014198144117746</v>
      </c>
      <c r="K20" s="191"/>
    </row>
    <row r="21" spans="1:12" ht="11.25">
      <c r="A21" s="36" t="s">
        <v>123</v>
      </c>
      <c r="B21" s="72">
        <f>SUM(B7:B20)</f>
        <v>34931379</v>
      </c>
      <c r="C21" s="71">
        <v>0.0219</v>
      </c>
      <c r="D21" s="72">
        <f>SUM(D7:D18)</f>
        <v>35450353</v>
      </c>
      <c r="E21" s="71">
        <f>D21/B21-1</f>
        <v>0.014856957121561098</v>
      </c>
      <c r="F21" s="72">
        <f>SUM(F7:F18)</f>
        <v>36897921</v>
      </c>
      <c r="G21" s="71">
        <f>F21/D21-1</f>
        <v>0.0408336695547149</v>
      </c>
      <c r="H21" s="72"/>
      <c r="I21" s="71"/>
      <c r="K21" s="183"/>
      <c r="L21" s="183"/>
    </row>
    <row r="22" spans="1:9" ht="11.25">
      <c r="A22" s="73"/>
      <c r="B22" s="34"/>
      <c r="C22" s="34" t="s">
        <v>19</v>
      </c>
      <c r="D22" s="34"/>
      <c r="E22" s="34" t="s">
        <v>19</v>
      </c>
      <c r="F22" s="34"/>
      <c r="G22" s="34" t="s">
        <v>19</v>
      </c>
      <c r="H22" s="34"/>
      <c r="I22" s="34" t="s">
        <v>19</v>
      </c>
    </row>
    <row r="23" spans="1:9" ht="11.25">
      <c r="A23" s="35" t="s">
        <v>122</v>
      </c>
      <c r="B23" s="72">
        <v>34821000</v>
      </c>
      <c r="C23" s="71">
        <f>B21/B23</f>
        <v>1.0031698974756613</v>
      </c>
      <c r="D23" s="72">
        <v>36223000</v>
      </c>
      <c r="E23" s="71">
        <f>D21/D23</f>
        <v>0.9786697126135329</v>
      </c>
      <c r="F23" s="72">
        <v>36827000</v>
      </c>
      <c r="G23" s="71">
        <f>F21/F23</f>
        <v>1.0019257881445678</v>
      </c>
      <c r="H23" s="72">
        <v>36840000</v>
      </c>
      <c r="I23" s="71">
        <f>H20/H23</f>
        <v>1.0095990295874049</v>
      </c>
    </row>
    <row r="24" ht="11.25"/>
    <row r="25" spans="1:9" ht="11.25">
      <c r="A25" s="73"/>
      <c r="B25" s="73"/>
      <c r="C25" s="73"/>
      <c r="D25" s="73"/>
      <c r="E25" s="73"/>
      <c r="F25" s="73"/>
      <c r="G25" s="73"/>
      <c r="H25" s="73"/>
      <c r="I25" s="73"/>
    </row>
    <row r="26" spans="1:9" ht="11.25">
      <c r="A26" s="73"/>
      <c r="B26" s="73"/>
      <c r="C26" s="73"/>
      <c r="D26" s="73"/>
      <c r="E26" s="73"/>
      <c r="F26" s="73"/>
      <c r="G26" s="73"/>
      <c r="H26" s="73"/>
      <c r="I26" s="73"/>
    </row>
    <row r="27" spans="1:9" ht="11.25">
      <c r="A27" s="73" t="s">
        <v>22</v>
      </c>
      <c r="B27" s="73"/>
      <c r="C27" s="73"/>
      <c r="D27" s="73"/>
      <c r="E27" s="73"/>
      <c r="F27" s="73"/>
      <c r="G27" s="73"/>
      <c r="H27" s="73"/>
      <c r="I27" s="73"/>
    </row>
    <row r="28" spans="1:9" ht="11.25">
      <c r="A28" s="73"/>
      <c r="B28" s="73"/>
      <c r="C28" s="73"/>
      <c r="D28" s="73"/>
      <c r="E28" s="73"/>
      <c r="F28" s="73"/>
      <c r="G28" s="73"/>
      <c r="H28" s="73"/>
      <c r="I28" s="73"/>
    </row>
    <row r="29" spans="1:9" ht="11.25">
      <c r="A29" s="77"/>
      <c r="B29" s="73"/>
      <c r="C29" s="77" t="s">
        <v>3</v>
      </c>
      <c r="D29" s="73"/>
      <c r="E29" s="77" t="s">
        <v>3</v>
      </c>
      <c r="F29" s="73"/>
      <c r="G29" s="77" t="s">
        <v>3</v>
      </c>
      <c r="H29" s="73"/>
      <c r="I29" s="77" t="s">
        <v>3</v>
      </c>
    </row>
    <row r="30" spans="1:9" ht="11.25">
      <c r="A30" s="77"/>
      <c r="B30" s="73"/>
      <c r="C30" s="77" t="s">
        <v>4</v>
      </c>
      <c r="D30" s="73"/>
      <c r="E30" s="77" t="s">
        <v>4</v>
      </c>
      <c r="F30" s="73"/>
      <c r="G30" s="77" t="s">
        <v>4</v>
      </c>
      <c r="H30" s="73"/>
      <c r="I30" s="77" t="s">
        <v>4</v>
      </c>
    </row>
    <row r="31" spans="1:9" ht="11.25">
      <c r="A31" s="77" t="s">
        <v>5</v>
      </c>
      <c r="B31" s="77" t="s">
        <v>211</v>
      </c>
      <c r="C31" s="77" t="s">
        <v>212</v>
      </c>
      <c r="D31" s="77" t="s">
        <v>216</v>
      </c>
      <c r="E31" s="77" t="s">
        <v>217</v>
      </c>
      <c r="F31" s="77" t="s">
        <v>228</v>
      </c>
      <c r="G31" s="77" t="s">
        <v>229</v>
      </c>
      <c r="H31" s="77" t="s">
        <v>239</v>
      </c>
      <c r="I31" s="77" t="s">
        <v>240</v>
      </c>
    </row>
    <row r="32" spans="1:9" ht="11.25">
      <c r="A32" s="32"/>
      <c r="B32" s="70"/>
      <c r="C32" s="34"/>
      <c r="D32" s="70"/>
      <c r="E32" s="34"/>
      <c r="F32" s="70"/>
      <c r="G32" s="34"/>
      <c r="H32" s="70"/>
      <c r="I32" s="34"/>
    </row>
    <row r="33" spans="1:15" ht="11.25">
      <c r="A33" s="32" t="s">
        <v>6</v>
      </c>
      <c r="B33" s="70">
        <v>7189585</v>
      </c>
      <c r="C33" s="71">
        <v>0.1458</v>
      </c>
      <c r="D33" s="70">
        <v>7034159</v>
      </c>
      <c r="E33" s="71">
        <v>-0.0216</v>
      </c>
      <c r="F33" s="70">
        <v>7423435</v>
      </c>
      <c r="G33" s="71">
        <v>0.0553</v>
      </c>
      <c r="H33" s="70">
        <v>7358980</v>
      </c>
      <c r="I33" s="71">
        <v>-0.0087</v>
      </c>
      <c r="J33" s="183"/>
      <c r="K33" s="183"/>
      <c r="L33" s="70"/>
      <c r="M33" s="183"/>
      <c r="N33" s="185"/>
      <c r="O33" s="190"/>
    </row>
    <row r="34" spans="1:15" ht="11.25">
      <c r="A34" s="32" t="s">
        <v>7</v>
      </c>
      <c r="B34" s="70">
        <v>6857578</v>
      </c>
      <c r="C34" s="71">
        <v>0.0363</v>
      </c>
      <c r="D34" s="70">
        <v>6531738</v>
      </c>
      <c r="E34" s="71">
        <v>-0.0475</v>
      </c>
      <c r="F34" s="70">
        <v>6566626</v>
      </c>
      <c r="G34" s="71">
        <v>0.0053</v>
      </c>
      <c r="H34" s="70">
        <v>6846960</v>
      </c>
      <c r="I34" s="71">
        <v>0.0427</v>
      </c>
      <c r="J34" s="183"/>
      <c r="K34" s="183"/>
      <c r="L34" s="70"/>
      <c r="N34" s="185"/>
      <c r="O34" s="190"/>
    </row>
    <row r="35" spans="1:15" ht="11.25">
      <c r="A35" s="32" t="s">
        <v>8</v>
      </c>
      <c r="B35" s="70">
        <v>6394049</v>
      </c>
      <c r="C35" s="71">
        <v>0.0036</v>
      </c>
      <c r="D35" s="70">
        <v>6617283</v>
      </c>
      <c r="E35" s="71">
        <v>0.0349</v>
      </c>
      <c r="F35" s="70">
        <v>6470108</v>
      </c>
      <c r="G35" s="71">
        <v>-0.0222</v>
      </c>
      <c r="H35" s="70">
        <v>7061823</v>
      </c>
      <c r="I35" s="71">
        <v>0.0915</v>
      </c>
      <c r="J35" s="183"/>
      <c r="K35" s="183"/>
      <c r="L35" s="70"/>
      <c r="N35" s="185"/>
      <c r="O35" s="190"/>
    </row>
    <row r="36" spans="1:15" ht="11.25">
      <c r="A36" s="32" t="s">
        <v>9</v>
      </c>
      <c r="B36" s="70">
        <v>6580256</v>
      </c>
      <c r="C36" s="71">
        <v>0.0455</v>
      </c>
      <c r="D36" s="70">
        <v>7951107</v>
      </c>
      <c r="E36" s="71">
        <v>0.2083</v>
      </c>
      <c r="F36" s="70">
        <v>6825300</v>
      </c>
      <c r="G36" s="71">
        <v>-0.1416</v>
      </c>
      <c r="H36" s="70">
        <v>6674362</v>
      </c>
      <c r="I36" s="71">
        <v>-0.0221</v>
      </c>
      <c r="J36" s="183"/>
      <c r="K36" s="183"/>
      <c r="L36" s="70"/>
      <c r="N36" s="185"/>
      <c r="O36" s="190"/>
    </row>
    <row r="37" spans="1:15" ht="11.25">
      <c r="A37" s="32" t="s">
        <v>10</v>
      </c>
      <c r="B37" s="70">
        <v>6399862</v>
      </c>
      <c r="C37" s="71">
        <v>-0.0185</v>
      </c>
      <c r="D37" s="70">
        <v>5507581</v>
      </c>
      <c r="E37" s="71">
        <v>-0.1394</v>
      </c>
      <c r="F37" s="70">
        <v>6577018</v>
      </c>
      <c r="G37" s="71">
        <v>0.1942</v>
      </c>
      <c r="H37" s="70">
        <v>6983549</v>
      </c>
      <c r="I37" s="71">
        <v>0.0618</v>
      </c>
      <c r="J37" s="183"/>
      <c r="K37" s="183"/>
      <c r="L37" s="70"/>
      <c r="N37" s="185"/>
      <c r="O37" s="190"/>
    </row>
    <row r="38" spans="1:15" ht="11.25">
      <c r="A38" s="32" t="s">
        <v>11</v>
      </c>
      <c r="B38" s="70">
        <v>6085649</v>
      </c>
      <c r="C38" s="71">
        <v>-0.0288</v>
      </c>
      <c r="D38" s="70">
        <v>6344248</v>
      </c>
      <c r="E38" s="71">
        <v>0.0425</v>
      </c>
      <c r="F38" s="70">
        <v>6523368</v>
      </c>
      <c r="G38" s="71">
        <v>0.0282</v>
      </c>
      <c r="H38" s="70">
        <v>6645647</v>
      </c>
      <c r="I38" s="71">
        <v>0.0187</v>
      </c>
      <c r="J38" s="183"/>
      <c r="K38" s="183"/>
      <c r="L38" s="70"/>
      <c r="N38" s="185"/>
      <c r="O38" s="190"/>
    </row>
    <row r="39" spans="1:15" ht="11.25">
      <c r="A39" s="32" t="s">
        <v>12</v>
      </c>
      <c r="B39" s="70">
        <v>7164074</v>
      </c>
      <c r="C39" s="71">
        <v>-0.0092</v>
      </c>
      <c r="D39" s="70">
        <v>7601892</v>
      </c>
      <c r="E39" s="71">
        <v>0.0611</v>
      </c>
      <c r="F39" s="70">
        <v>7534472</v>
      </c>
      <c r="G39" s="71">
        <v>-0.0089</v>
      </c>
      <c r="H39" s="70">
        <v>7632223</v>
      </c>
      <c r="I39" s="71">
        <v>0.013</v>
      </c>
      <c r="J39" s="183"/>
      <c r="K39" s="183"/>
      <c r="L39" s="70"/>
      <c r="N39" s="185"/>
      <c r="O39" s="190"/>
    </row>
    <row r="40" spans="1:15" ht="11.25">
      <c r="A40" s="32" t="s">
        <v>13</v>
      </c>
      <c r="B40" s="70">
        <v>6280795</v>
      </c>
      <c r="C40" s="71">
        <v>0.0791</v>
      </c>
      <c r="D40" s="70">
        <v>6229435</v>
      </c>
      <c r="E40" s="71">
        <v>-0.0082</v>
      </c>
      <c r="F40" s="70">
        <v>6439046</v>
      </c>
      <c r="G40" s="71">
        <v>0.0336</v>
      </c>
      <c r="H40" s="70">
        <v>6623196</v>
      </c>
      <c r="I40" s="71">
        <v>0.0286</v>
      </c>
      <c r="J40" s="183"/>
      <c r="K40" s="183"/>
      <c r="L40" s="70"/>
      <c r="N40" s="185"/>
      <c r="O40" s="190"/>
    </row>
    <row r="41" spans="1:15" ht="11.25">
      <c r="A41" s="32" t="s">
        <v>14</v>
      </c>
      <c r="B41" s="70">
        <v>6417166</v>
      </c>
      <c r="C41" s="71">
        <v>0.1126</v>
      </c>
      <c r="D41" s="70">
        <v>6063971</v>
      </c>
      <c r="E41" s="71">
        <v>-0.055</v>
      </c>
      <c r="F41" s="70">
        <v>6087985</v>
      </c>
      <c r="G41" s="71">
        <v>0.004</v>
      </c>
      <c r="H41" s="70">
        <v>6439410</v>
      </c>
      <c r="I41" s="71">
        <v>0.0577</v>
      </c>
      <c r="J41" s="183"/>
      <c r="K41" s="183"/>
      <c r="L41" s="70"/>
      <c r="N41" s="185"/>
      <c r="O41" s="190"/>
    </row>
    <row r="42" spans="1:15" ht="11.25">
      <c r="A42" s="32" t="s">
        <v>15</v>
      </c>
      <c r="B42" s="70">
        <v>6865416</v>
      </c>
      <c r="C42" s="71">
        <v>0.0069</v>
      </c>
      <c r="D42" s="70">
        <v>6864803</v>
      </c>
      <c r="E42" s="71">
        <v>-0.0001</v>
      </c>
      <c r="F42" s="70">
        <v>7311520</v>
      </c>
      <c r="G42" s="71">
        <v>0.0651</v>
      </c>
      <c r="H42" s="70">
        <v>7253691</v>
      </c>
      <c r="I42" s="71">
        <v>-0.0079</v>
      </c>
      <c r="J42" s="183"/>
      <c r="K42" s="183"/>
      <c r="L42" s="70"/>
      <c r="N42" s="185"/>
      <c r="O42" s="190"/>
    </row>
    <row r="43" spans="1:15" ht="11.25">
      <c r="A43" s="32" t="s">
        <v>16</v>
      </c>
      <c r="B43" s="70">
        <v>6195909</v>
      </c>
      <c r="C43" s="71">
        <v>-0.0906</v>
      </c>
      <c r="D43" s="70">
        <v>6379346</v>
      </c>
      <c r="E43" s="71">
        <v>0.0296</v>
      </c>
      <c r="F43" s="70">
        <v>6707182</v>
      </c>
      <c r="G43" s="71">
        <v>0.0514</v>
      </c>
      <c r="H43" s="70">
        <v>7017430</v>
      </c>
      <c r="I43" s="71">
        <v>0.0463</v>
      </c>
      <c r="J43" s="183"/>
      <c r="K43" s="183"/>
      <c r="L43" s="70"/>
      <c r="N43" s="190"/>
      <c r="O43" s="190"/>
    </row>
    <row r="44" spans="1:15" ht="11.25">
      <c r="A44" s="32" t="s">
        <v>17</v>
      </c>
      <c r="B44" s="70">
        <v>6365284</v>
      </c>
      <c r="C44" s="71">
        <v>0.0141</v>
      </c>
      <c r="D44" s="70">
        <v>6691416</v>
      </c>
      <c r="E44" s="71">
        <v>0.0512</v>
      </c>
      <c r="F44" s="70">
        <v>8586424</v>
      </c>
      <c r="G44" s="71">
        <v>0.2832</v>
      </c>
      <c r="H44" s="70">
        <f>'Monthly receipts from State'!$F$28</f>
        <v>6996687.599074074</v>
      </c>
      <c r="I44" s="71">
        <f>H44/F44-1</f>
        <v>-0.18514534117182257</v>
      </c>
      <c r="J44" s="183"/>
      <c r="K44" s="183"/>
      <c r="L44" s="70"/>
      <c r="N44" s="185"/>
      <c r="O44" s="190"/>
    </row>
    <row r="45" spans="2:9" ht="11.25">
      <c r="B45" s="72"/>
      <c r="C45" s="71"/>
      <c r="D45" s="72"/>
      <c r="E45" s="71"/>
      <c r="F45" s="72"/>
      <c r="G45" s="71"/>
      <c r="H45" s="72"/>
      <c r="I45" s="71"/>
    </row>
    <row r="46" spans="1:11" s="5" customFormat="1" ht="12.75">
      <c r="A46" s="35" t="s">
        <v>139</v>
      </c>
      <c r="B46" s="70"/>
      <c r="C46" s="71"/>
      <c r="D46" s="70"/>
      <c r="E46" s="71"/>
      <c r="F46" s="74">
        <f>SUM(F33:F44)</f>
        <v>83052484</v>
      </c>
      <c r="G46" s="75"/>
      <c r="H46" s="74">
        <f>SUM(H33:H44)</f>
        <v>83533958.59907408</v>
      </c>
      <c r="I46" s="75">
        <f>H46/(SUM(F33:F44))-1</f>
        <v>0.005797232977090561</v>
      </c>
      <c r="K46" s="191"/>
    </row>
    <row r="47" spans="1:14" ht="11.25">
      <c r="A47" s="36" t="s">
        <v>123</v>
      </c>
      <c r="B47" s="72">
        <f>SUM(B33:B46)</f>
        <v>78795623</v>
      </c>
      <c r="C47" s="71">
        <v>0.0224</v>
      </c>
      <c r="D47" s="72">
        <f>SUM(D33:D44)</f>
        <v>79816979</v>
      </c>
      <c r="E47" s="71">
        <f>(D47/B47)-1</f>
        <v>0.01296209054657771</v>
      </c>
      <c r="F47" s="72">
        <f>SUM(F33:F44)</f>
        <v>83052484</v>
      </c>
      <c r="G47" s="71">
        <f>(F47/D47)-1</f>
        <v>0.04053655050011362</v>
      </c>
      <c r="H47" s="72"/>
      <c r="I47" s="71"/>
      <c r="J47" s="72"/>
      <c r="K47" s="186"/>
      <c r="L47" s="183"/>
      <c r="M47" s="183"/>
      <c r="N47" s="183"/>
    </row>
    <row r="48" spans="1:12" ht="11.25">
      <c r="A48" s="73"/>
      <c r="B48" s="34"/>
      <c r="C48" s="34" t="s">
        <v>19</v>
      </c>
      <c r="D48" s="34"/>
      <c r="E48" s="34" t="s">
        <v>19</v>
      </c>
      <c r="F48" s="34"/>
      <c r="G48" s="34" t="s">
        <v>19</v>
      </c>
      <c r="H48" s="34"/>
      <c r="I48" s="34" t="s">
        <v>19</v>
      </c>
      <c r="L48" s="184"/>
    </row>
    <row r="49" spans="1:13" ht="11.25">
      <c r="A49" s="35" t="s">
        <v>129</v>
      </c>
      <c r="B49" s="72">
        <v>78481000</v>
      </c>
      <c r="C49" s="71">
        <f>B47/B49</f>
        <v>1.0040089066143398</v>
      </c>
      <c r="D49" s="72">
        <v>81271000</v>
      </c>
      <c r="E49" s="71">
        <f>D47/D49</f>
        <v>0.982108981063356</v>
      </c>
      <c r="F49" s="72">
        <v>82650000</v>
      </c>
      <c r="G49" s="71">
        <f>F47/F49</f>
        <v>1.0048697398669086</v>
      </c>
      <c r="H49" s="72">
        <v>82492000</v>
      </c>
      <c r="I49" s="104">
        <f>H46/H49</f>
        <v>1.0126310260276643</v>
      </c>
      <c r="L49" s="183"/>
      <c r="M49" s="183"/>
    </row>
    <row r="50" ht="11.25"/>
    <row r="51" spans="2:7" ht="11.25">
      <c r="B51" s="32"/>
      <c r="C51" s="73"/>
      <c r="D51" s="73"/>
      <c r="E51" s="73"/>
      <c r="F51" s="192"/>
      <c r="G51" s="73"/>
    </row>
    <row r="52" spans="2:7" ht="11.25">
      <c r="B52" s="32"/>
      <c r="C52" s="73"/>
      <c r="D52" s="73"/>
      <c r="E52" s="73"/>
      <c r="F52" s="73"/>
      <c r="G52" s="73"/>
    </row>
  </sheetData>
  <sheetProtection/>
  <printOptions horizontalCentered="1"/>
  <pageMargins left="0.25" right="0" top="0.32" bottom="0.58" header="0.25" footer="0.31"/>
  <pageSetup fitToWidth="0" fitToHeight="1" horizontalDpi="600" verticalDpi="600" orientation="portrait" r:id="rId3"/>
  <headerFooter alignWithMargins="0">
    <oddFooter>&amp;CPage 3</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78"/>
  <sheetViews>
    <sheetView zoomScale="110" zoomScaleNormal="110" zoomScalePageLayoutView="0" workbookViewId="0" topLeftCell="A1">
      <selection activeCell="I22" sqref="I22"/>
    </sheetView>
  </sheetViews>
  <sheetFormatPr defaultColWidth="9.00390625" defaultRowHeight="12.75"/>
  <cols>
    <col min="1" max="1" width="8.00390625" style="4" customWidth="1"/>
    <col min="2" max="2" width="11.00390625" style="4" customWidth="1"/>
    <col min="3" max="4" width="10.875" style="4" customWidth="1"/>
    <col min="5" max="5" width="11.25390625" style="70" customWidth="1"/>
    <col min="6" max="6" width="10.00390625" style="4" customWidth="1"/>
    <col min="7" max="7" width="11.25390625" style="4" customWidth="1"/>
    <col min="8" max="8" width="11.375" style="4" customWidth="1"/>
    <col min="9" max="9" width="10.75390625" style="4" customWidth="1"/>
    <col min="10" max="10" width="10.875" style="4" bestFit="1" customWidth="1"/>
    <col min="11" max="11" width="11.375" style="4" bestFit="1" customWidth="1"/>
    <col min="12" max="16384" width="9.125" style="4" customWidth="1"/>
  </cols>
  <sheetData>
    <row r="1" spans="1:4" ht="11.25">
      <c r="A1" s="73" t="s">
        <v>219</v>
      </c>
      <c r="B1" s="36"/>
      <c r="C1" s="36"/>
      <c r="D1" s="36"/>
    </row>
    <row r="2" ht="11.25"/>
    <row r="3" spans="1:9" ht="11.25">
      <c r="A3" s="67"/>
      <c r="B3" s="67"/>
      <c r="C3" s="67" t="s">
        <v>3</v>
      </c>
      <c r="D3" s="67"/>
      <c r="E3" s="67" t="s">
        <v>3</v>
      </c>
      <c r="F3" s="67"/>
      <c r="G3" s="67" t="s">
        <v>3</v>
      </c>
      <c r="H3" s="67"/>
      <c r="I3" s="67" t="s">
        <v>3</v>
      </c>
    </row>
    <row r="4" spans="1:9" ht="11.25">
      <c r="A4" s="67"/>
      <c r="B4" s="67"/>
      <c r="C4" s="67" t="s">
        <v>4</v>
      </c>
      <c r="D4" s="67"/>
      <c r="E4" s="67" t="s">
        <v>4</v>
      </c>
      <c r="F4" s="67"/>
      <c r="G4" s="67" t="s">
        <v>4</v>
      </c>
      <c r="H4" s="67"/>
      <c r="I4" s="67" t="s">
        <v>4</v>
      </c>
    </row>
    <row r="5" spans="1:9" ht="11.25">
      <c r="A5" s="77" t="s">
        <v>5</v>
      </c>
      <c r="B5" s="77" t="s">
        <v>211</v>
      </c>
      <c r="C5" s="77" t="s">
        <v>212</v>
      </c>
      <c r="D5" s="77" t="s">
        <v>216</v>
      </c>
      <c r="E5" s="77" t="s">
        <v>217</v>
      </c>
      <c r="F5" s="77" t="s">
        <v>228</v>
      </c>
      <c r="G5" s="77" t="s">
        <v>229</v>
      </c>
      <c r="H5" s="77" t="s">
        <v>239</v>
      </c>
      <c r="I5" s="77" t="s">
        <v>240</v>
      </c>
    </row>
    <row r="6" spans="1:9" ht="11.25">
      <c r="A6" s="32"/>
      <c r="B6" s="70"/>
      <c r="C6" s="34"/>
      <c r="D6" s="70"/>
      <c r="E6" s="34"/>
      <c r="F6" s="70"/>
      <c r="G6" s="34"/>
      <c r="H6" s="70"/>
      <c r="I6" s="34"/>
    </row>
    <row r="7" spans="1:11" ht="11.25">
      <c r="A7" s="32" t="s">
        <v>6</v>
      </c>
      <c r="B7" s="70">
        <v>0</v>
      </c>
      <c r="C7" s="71">
        <v>0</v>
      </c>
      <c r="D7" s="70">
        <v>40273</v>
      </c>
      <c r="E7" s="71" t="s">
        <v>221</v>
      </c>
      <c r="F7" s="70">
        <v>1625979.05</v>
      </c>
      <c r="G7" s="75">
        <f>+F7/D7-1</f>
        <v>39.37392421721749</v>
      </c>
      <c r="H7" s="70">
        <v>1583524</v>
      </c>
      <c r="I7" s="75">
        <v>-0.0261</v>
      </c>
      <c r="J7" s="312">
        <f>+F7/D7-1</f>
        <v>39.37392421721749</v>
      </c>
      <c r="K7" s="190"/>
    </row>
    <row r="8" spans="1:11" ht="11.25">
      <c r="A8" s="32" t="s">
        <v>7</v>
      </c>
      <c r="B8" s="70">
        <v>0</v>
      </c>
      <c r="C8" s="71">
        <v>0</v>
      </c>
      <c r="D8" s="70">
        <v>1413743</v>
      </c>
      <c r="E8" s="71" t="s">
        <v>221</v>
      </c>
      <c r="F8" s="70">
        <v>1433612.37</v>
      </c>
      <c r="G8" s="75">
        <f aca="true" t="shared" si="0" ref="G8:G18">+F8/D8-1</f>
        <v>0.014054442709884318</v>
      </c>
      <c r="H8" s="70">
        <v>1490990</v>
      </c>
      <c r="I8" s="75">
        <v>0.04</v>
      </c>
      <c r="J8" s="312">
        <f aca="true" t="shared" si="1" ref="J8:J18">+F8/D8-1</f>
        <v>0.014054442709884318</v>
      </c>
      <c r="K8" s="190"/>
    </row>
    <row r="9" spans="1:11" ht="11.25">
      <c r="A9" s="32" t="s">
        <v>8</v>
      </c>
      <c r="B9" s="70">
        <v>0</v>
      </c>
      <c r="C9" s="71">
        <v>0</v>
      </c>
      <c r="D9" s="70">
        <v>1441781</v>
      </c>
      <c r="E9" s="71" t="s">
        <v>221</v>
      </c>
      <c r="F9" s="70">
        <v>1414126.61</v>
      </c>
      <c r="G9" s="75">
        <f t="shared" si="0"/>
        <v>-0.019180714685517408</v>
      </c>
      <c r="H9" s="70">
        <v>1550961</v>
      </c>
      <c r="I9" s="75">
        <v>0.0968</v>
      </c>
      <c r="J9" s="312">
        <f t="shared" si="1"/>
        <v>-0.019180714685517408</v>
      </c>
      <c r="K9" s="190"/>
    </row>
    <row r="10" spans="1:11" ht="11.25">
      <c r="A10" s="32" t="s">
        <v>9</v>
      </c>
      <c r="B10" s="70">
        <v>0</v>
      </c>
      <c r="C10" s="71">
        <v>0</v>
      </c>
      <c r="D10" s="70">
        <v>1439586</v>
      </c>
      <c r="E10" s="71" t="s">
        <v>221</v>
      </c>
      <c r="F10" s="70">
        <v>1492397.67</v>
      </c>
      <c r="G10" s="75">
        <f t="shared" si="0"/>
        <v>0.036685317862218625</v>
      </c>
      <c r="H10" s="70">
        <v>1464038</v>
      </c>
      <c r="I10" s="75">
        <v>-0.019</v>
      </c>
      <c r="J10" s="312">
        <f t="shared" si="1"/>
        <v>0.036685317862218625</v>
      </c>
      <c r="K10" s="190"/>
    </row>
    <row r="11" spans="1:11" ht="11.25">
      <c r="A11" s="32" t="s">
        <v>10</v>
      </c>
      <c r="B11" s="70">
        <v>0</v>
      </c>
      <c r="C11" s="71">
        <v>0</v>
      </c>
      <c r="D11" s="70">
        <v>1416469</v>
      </c>
      <c r="E11" s="71" t="s">
        <v>221</v>
      </c>
      <c r="F11" s="70">
        <v>1430788.2</v>
      </c>
      <c r="G11" s="75">
        <f t="shared" si="0"/>
        <v>0.010109081102374962</v>
      </c>
      <c r="H11" s="70">
        <v>1539233</v>
      </c>
      <c r="I11" s="75">
        <v>0.0758</v>
      </c>
      <c r="J11" s="312">
        <f t="shared" si="1"/>
        <v>0.010109081102374962</v>
      </c>
      <c r="K11" s="190"/>
    </row>
    <row r="12" spans="1:11" ht="11.25">
      <c r="A12" s="32" t="s">
        <v>11</v>
      </c>
      <c r="B12" s="70">
        <v>0</v>
      </c>
      <c r="C12" s="71">
        <v>0</v>
      </c>
      <c r="D12" s="70">
        <v>1355282</v>
      </c>
      <c r="E12" s="71" t="s">
        <v>221</v>
      </c>
      <c r="F12" s="70">
        <v>1425960.52</v>
      </c>
      <c r="G12" s="75">
        <f t="shared" si="0"/>
        <v>0.052150415928198024</v>
      </c>
      <c r="H12" s="70">
        <v>1455705</v>
      </c>
      <c r="I12" s="75">
        <v>0.0209</v>
      </c>
      <c r="J12" s="312">
        <f t="shared" si="1"/>
        <v>0.052150415928198024</v>
      </c>
      <c r="K12" s="190"/>
    </row>
    <row r="13" spans="1:11" ht="11.25">
      <c r="A13" s="32" t="s">
        <v>12</v>
      </c>
      <c r="B13" s="70">
        <v>0</v>
      </c>
      <c r="C13" s="71">
        <v>0</v>
      </c>
      <c r="D13" s="70">
        <v>1466122</v>
      </c>
      <c r="E13" s="71" t="s">
        <v>221</v>
      </c>
      <c r="F13" s="70">
        <v>1620673.09</v>
      </c>
      <c r="G13" s="75">
        <f t="shared" si="0"/>
        <v>0.10541489043885854</v>
      </c>
      <c r="H13" s="70">
        <v>1661976</v>
      </c>
      <c r="I13" s="75">
        <v>0.0255</v>
      </c>
      <c r="J13" s="312">
        <f t="shared" si="1"/>
        <v>0.10541489043885854</v>
      </c>
      <c r="K13" s="190"/>
    </row>
    <row r="14" spans="1:11" ht="11.25">
      <c r="A14" s="32" t="s">
        <v>13</v>
      </c>
      <c r="B14" s="70">
        <v>0</v>
      </c>
      <c r="C14" s="71">
        <v>0</v>
      </c>
      <c r="D14" s="70">
        <v>1335236</v>
      </c>
      <c r="E14" s="71" t="s">
        <v>221</v>
      </c>
      <c r="F14" s="70">
        <v>1412643.83</v>
      </c>
      <c r="G14" s="75">
        <f t="shared" si="0"/>
        <v>0.05797314482233862</v>
      </c>
      <c r="H14" s="70">
        <v>1446442</v>
      </c>
      <c r="I14" s="75">
        <v>0.0239</v>
      </c>
      <c r="J14" s="312">
        <f t="shared" si="1"/>
        <v>0.05797314482233862</v>
      </c>
      <c r="K14" s="190"/>
    </row>
    <row r="15" spans="1:11" ht="11.25">
      <c r="A15" s="32" t="s">
        <v>14</v>
      </c>
      <c r="B15" s="70">
        <v>0</v>
      </c>
      <c r="C15" s="71">
        <v>0</v>
      </c>
      <c r="D15" s="70">
        <v>1300905</v>
      </c>
      <c r="E15" s="71" t="s">
        <v>221</v>
      </c>
      <c r="F15" s="70">
        <v>1322679.94</v>
      </c>
      <c r="G15" s="75">
        <f t="shared" si="0"/>
        <v>0.016738301413246948</v>
      </c>
      <c r="H15" s="70">
        <v>1410770</v>
      </c>
      <c r="I15" s="75">
        <v>0.0666</v>
      </c>
      <c r="J15" s="312">
        <f t="shared" si="1"/>
        <v>0.016738301413246948</v>
      </c>
      <c r="K15" s="190"/>
    </row>
    <row r="16" spans="1:11" ht="11.25">
      <c r="A16" s="32" t="s">
        <v>15</v>
      </c>
      <c r="B16" s="70">
        <v>0</v>
      </c>
      <c r="C16" s="71">
        <v>0</v>
      </c>
      <c r="D16" s="70">
        <v>1514220</v>
      </c>
      <c r="E16" s="71" t="s">
        <v>221</v>
      </c>
      <c r="F16" s="70">
        <v>1607312.31</v>
      </c>
      <c r="G16" s="75">
        <f t="shared" si="0"/>
        <v>0.061478721718112306</v>
      </c>
      <c r="H16" s="70">
        <v>1589394</v>
      </c>
      <c r="I16" s="75">
        <v>-0.0111</v>
      </c>
      <c r="J16" s="312">
        <f t="shared" si="1"/>
        <v>0.061478721718112306</v>
      </c>
      <c r="K16" s="190"/>
    </row>
    <row r="17" spans="1:11" ht="11.25">
      <c r="A17" s="32" t="s">
        <v>16</v>
      </c>
      <c r="B17" s="70">
        <v>0</v>
      </c>
      <c r="C17" s="71">
        <v>0</v>
      </c>
      <c r="D17" s="70">
        <v>1389739</v>
      </c>
      <c r="E17" s="71" t="s">
        <v>221</v>
      </c>
      <c r="F17" s="70">
        <v>1436021.35</v>
      </c>
      <c r="G17" s="75">
        <f t="shared" si="0"/>
        <v>0.03330290795609825</v>
      </c>
      <c r="H17" s="70">
        <v>1585613</v>
      </c>
      <c r="I17" s="75">
        <v>0.1042</v>
      </c>
      <c r="J17" s="312">
        <f t="shared" si="1"/>
        <v>0.03330290795609825</v>
      </c>
      <c r="K17" s="190"/>
    </row>
    <row r="18" spans="1:11" ht="11.25">
      <c r="A18" s="32" t="s">
        <v>17</v>
      </c>
      <c r="B18" s="70">
        <v>0</v>
      </c>
      <c r="C18" s="71">
        <v>0</v>
      </c>
      <c r="D18" s="70">
        <v>1466022</v>
      </c>
      <c r="E18" s="71" t="s">
        <v>221</v>
      </c>
      <c r="F18" s="70">
        <v>1550909.99</v>
      </c>
      <c r="G18" s="75">
        <f t="shared" si="0"/>
        <v>0.05790362627573109</v>
      </c>
      <c r="H18" s="70">
        <f>'Monthly receipts from State'!$F$29</f>
        <v>1582644.59</v>
      </c>
      <c r="I18" s="75">
        <f>+H18/F18-1</f>
        <v>0.02046192248719736</v>
      </c>
      <c r="J18" s="312">
        <f t="shared" si="1"/>
        <v>0.05790362627573109</v>
      </c>
      <c r="K18" s="190"/>
    </row>
    <row r="19" spans="3:7" ht="11.25">
      <c r="C19" s="71"/>
      <c r="E19" s="71"/>
      <c r="G19" s="71"/>
    </row>
    <row r="20" spans="1:9" ht="11.25">
      <c r="A20" s="36" t="s">
        <v>18</v>
      </c>
      <c r="B20" s="72"/>
      <c r="C20" s="71" t="s">
        <v>26</v>
      </c>
      <c r="D20" s="72"/>
      <c r="E20" s="71" t="s">
        <v>26</v>
      </c>
      <c r="F20" s="72">
        <f>SUM(F7:F18)</f>
        <v>17773104.93</v>
      </c>
      <c r="G20" s="71" t="s">
        <v>26</v>
      </c>
      <c r="H20" s="72">
        <f>SUM(H7:H18)</f>
        <v>18361290.59</v>
      </c>
      <c r="I20" s="75">
        <f>H20/(SUM(F7:F18))-1</f>
        <v>0.03309414209371919</v>
      </c>
    </row>
    <row r="21" spans="1:8" ht="11.25">
      <c r="A21" s="36" t="s">
        <v>123</v>
      </c>
      <c r="B21" s="300">
        <f>SUM(B7:B20)</f>
        <v>0</v>
      </c>
      <c r="C21" s="71">
        <v>0</v>
      </c>
      <c r="D21" s="124">
        <f>SUM(D7:D20)</f>
        <v>15579378</v>
      </c>
      <c r="E21" s="71">
        <v>0</v>
      </c>
      <c r="F21" s="124">
        <f>SUM(F7:F18)</f>
        <v>17773104.93</v>
      </c>
      <c r="G21" s="71">
        <v>0.1441</v>
      </c>
      <c r="H21" s="34"/>
    </row>
    <row r="22" spans="1:9" ht="11.25">
      <c r="A22" s="36"/>
      <c r="B22" s="300"/>
      <c r="C22" s="301"/>
      <c r="D22" s="300"/>
      <c r="E22" s="301"/>
      <c r="F22" s="124"/>
      <c r="G22" s="34"/>
      <c r="H22" s="34"/>
      <c r="I22" s="34"/>
    </row>
    <row r="23" spans="1:9" ht="11.25">
      <c r="A23" s="36" t="s">
        <v>129</v>
      </c>
      <c r="B23" s="105">
        <v>0</v>
      </c>
      <c r="C23" s="71">
        <v>0</v>
      </c>
      <c r="D23" s="105">
        <v>15779000</v>
      </c>
      <c r="E23" s="71">
        <v>0</v>
      </c>
      <c r="F23" s="105">
        <v>17300000</v>
      </c>
      <c r="G23" s="71">
        <v>1.0303</v>
      </c>
      <c r="H23" s="105">
        <v>18300000</v>
      </c>
      <c r="I23" s="71">
        <f>H20/H23</f>
        <v>1.003349212568306</v>
      </c>
    </row>
    <row r="24" spans="1:9" ht="11.25">
      <c r="A24" s="36"/>
      <c r="B24" s="105"/>
      <c r="C24" s="71"/>
      <c r="D24" s="105"/>
      <c r="E24" s="71"/>
      <c r="F24" s="105"/>
      <c r="G24" s="71"/>
      <c r="H24" s="105"/>
      <c r="I24" s="71"/>
    </row>
    <row r="25" spans="1:12" ht="11.25">
      <c r="A25" s="304" t="s">
        <v>237</v>
      </c>
      <c r="B25" s="36" t="s">
        <v>236</v>
      </c>
      <c r="C25" s="302"/>
      <c r="D25" s="303"/>
      <c r="E25" s="302"/>
      <c r="F25" s="303"/>
      <c r="G25" s="302"/>
      <c r="H25" s="303"/>
      <c r="I25" s="302"/>
      <c r="J25" s="36"/>
      <c r="K25" s="36"/>
      <c r="L25" s="36"/>
    </row>
    <row r="26" spans="1:2" ht="11.25">
      <c r="A26" s="36" t="s">
        <v>237</v>
      </c>
      <c r="B26" s="36" t="s">
        <v>261</v>
      </c>
    </row>
    <row r="27" spans="1:3" ht="11.25">
      <c r="A27" s="73" t="s">
        <v>169</v>
      </c>
      <c r="B27" s="36"/>
      <c r="C27" s="36"/>
    </row>
    <row r="28" ht="11.25"/>
    <row r="29" spans="1:9" ht="11.25">
      <c r="A29" s="67"/>
      <c r="B29" s="67"/>
      <c r="C29" s="67" t="s">
        <v>3</v>
      </c>
      <c r="D29" s="67"/>
      <c r="E29" s="67" t="s">
        <v>3</v>
      </c>
      <c r="F29" s="67"/>
      <c r="G29" s="67" t="s">
        <v>3</v>
      </c>
      <c r="H29" s="67"/>
      <c r="I29" s="67" t="s">
        <v>3</v>
      </c>
    </row>
    <row r="30" spans="1:9" ht="11.25">
      <c r="A30" s="67"/>
      <c r="B30" s="67"/>
      <c r="C30" s="67" t="s">
        <v>4</v>
      </c>
      <c r="D30" s="67"/>
      <c r="E30" s="67" t="s">
        <v>4</v>
      </c>
      <c r="F30" s="67"/>
      <c r="G30" s="67" t="s">
        <v>4</v>
      </c>
      <c r="H30" s="67"/>
      <c r="I30" s="67" t="s">
        <v>4</v>
      </c>
    </row>
    <row r="31" spans="1:9" ht="11.25">
      <c r="A31" s="77" t="s">
        <v>5</v>
      </c>
      <c r="B31" s="77" t="s">
        <v>211</v>
      </c>
      <c r="C31" s="77" t="s">
        <v>212</v>
      </c>
      <c r="D31" s="77" t="s">
        <v>216</v>
      </c>
      <c r="E31" s="77" t="s">
        <v>217</v>
      </c>
      <c r="F31" s="77" t="s">
        <v>228</v>
      </c>
      <c r="G31" s="77" t="s">
        <v>229</v>
      </c>
      <c r="H31" s="77" t="s">
        <v>239</v>
      </c>
      <c r="I31" s="77" t="s">
        <v>240</v>
      </c>
    </row>
    <row r="32" spans="1:5" ht="11.25">
      <c r="A32" s="32"/>
      <c r="E32" s="4"/>
    </row>
    <row r="33" spans="1:12" ht="11.25">
      <c r="A33" s="32" t="s">
        <v>6</v>
      </c>
      <c r="B33" s="70">
        <v>3434659</v>
      </c>
      <c r="C33" s="71">
        <v>0.147</v>
      </c>
      <c r="D33" s="70">
        <v>3362943</v>
      </c>
      <c r="E33" s="71">
        <v>-0.0209</v>
      </c>
      <c r="F33" s="70">
        <v>3556342</v>
      </c>
      <c r="G33" s="71">
        <v>0.0575</v>
      </c>
      <c r="H33" s="70">
        <v>3515999</v>
      </c>
      <c r="I33" s="71">
        <v>-0.0113</v>
      </c>
      <c r="J33" s="183"/>
      <c r="K33" s="184"/>
      <c r="L33" s="70"/>
    </row>
    <row r="34" spans="1:12" ht="11.25">
      <c r="A34" s="32" t="s">
        <v>7</v>
      </c>
      <c r="B34" s="70">
        <v>3269897</v>
      </c>
      <c r="C34" s="71">
        <v>0.0372</v>
      </c>
      <c r="D34" s="70">
        <v>3119123</v>
      </c>
      <c r="E34" s="71">
        <v>-0.0461</v>
      </c>
      <c r="F34" s="70">
        <v>3155830</v>
      </c>
      <c r="G34" s="71">
        <v>0.0118</v>
      </c>
      <c r="H34" s="70">
        <v>3275876</v>
      </c>
      <c r="I34" s="71">
        <v>0.038</v>
      </c>
      <c r="J34" s="183"/>
      <c r="K34" s="184"/>
      <c r="L34" s="70"/>
    </row>
    <row r="35" spans="1:12" ht="11.25">
      <c r="A35" s="32" t="s">
        <v>8</v>
      </c>
      <c r="B35" s="70">
        <v>3049322</v>
      </c>
      <c r="C35" s="71">
        <v>0.0041</v>
      </c>
      <c r="D35" s="70">
        <v>3161414</v>
      </c>
      <c r="E35" s="71">
        <v>0.0368</v>
      </c>
      <c r="F35" s="70">
        <v>3094978</v>
      </c>
      <c r="G35" s="71">
        <v>-0.021</v>
      </c>
      <c r="H35" s="70">
        <v>3382342</v>
      </c>
      <c r="I35" s="71">
        <v>0.0928</v>
      </c>
      <c r="J35" s="183"/>
      <c r="K35" s="184"/>
      <c r="L35" s="70"/>
    </row>
    <row r="36" spans="1:12" ht="11.25">
      <c r="A36" s="32" t="s">
        <v>9</v>
      </c>
      <c r="B36" s="70">
        <v>3141493</v>
      </c>
      <c r="C36" s="71">
        <v>0.0436</v>
      </c>
      <c r="D36" s="70">
        <v>3760376</v>
      </c>
      <c r="E36" s="71">
        <v>0.197</v>
      </c>
      <c r="F36" s="70">
        <v>3269094</v>
      </c>
      <c r="G36" s="71">
        <v>-0.1306</v>
      </c>
      <c r="H36" s="70">
        <v>3196808</v>
      </c>
      <c r="I36" s="71">
        <v>-0.0221</v>
      </c>
      <c r="J36" s="183"/>
      <c r="K36" s="184"/>
      <c r="L36" s="70"/>
    </row>
    <row r="37" spans="1:12" ht="11.25">
      <c r="A37" s="32" t="s">
        <v>10</v>
      </c>
      <c r="B37" s="70">
        <v>3053958</v>
      </c>
      <c r="C37" s="71">
        <v>-0.0208</v>
      </c>
      <c r="D37" s="70">
        <v>2677464</v>
      </c>
      <c r="E37" s="71">
        <v>-0.1233</v>
      </c>
      <c r="F37" s="70">
        <v>3149005</v>
      </c>
      <c r="G37" s="71">
        <v>0.1761</v>
      </c>
      <c r="H37" s="70">
        <v>3340348</v>
      </c>
      <c r="I37" s="71">
        <v>0.0608</v>
      </c>
      <c r="J37" s="183"/>
      <c r="K37" s="184"/>
      <c r="L37" s="70"/>
    </row>
    <row r="38" spans="1:12" ht="11.25">
      <c r="A38" s="32" t="s">
        <v>11</v>
      </c>
      <c r="B38" s="70">
        <v>2912020</v>
      </c>
      <c r="C38" s="71">
        <v>-0.0265</v>
      </c>
      <c r="D38" s="70">
        <v>3033049</v>
      </c>
      <c r="E38" s="71">
        <v>0.0416</v>
      </c>
      <c r="F38" s="70">
        <v>3123661</v>
      </c>
      <c r="G38" s="71">
        <v>0.0299</v>
      </c>
      <c r="H38" s="70">
        <v>3182829</v>
      </c>
      <c r="I38" s="71">
        <v>0.0189</v>
      </c>
      <c r="J38" s="183"/>
      <c r="K38" s="184"/>
      <c r="L38" s="70"/>
    </row>
    <row r="39" spans="1:12" ht="11.25">
      <c r="A39" s="32" t="s">
        <v>12</v>
      </c>
      <c r="B39" s="70">
        <v>3422969</v>
      </c>
      <c r="C39" s="71">
        <v>-0.0105</v>
      </c>
      <c r="D39" s="70">
        <v>3633224</v>
      </c>
      <c r="E39" s="71">
        <v>0.0614</v>
      </c>
      <c r="F39" s="70">
        <v>3603605</v>
      </c>
      <c r="G39" s="71">
        <v>-0.0082</v>
      </c>
      <c r="H39" s="70">
        <v>3654802</v>
      </c>
      <c r="I39" s="71">
        <v>0.0142</v>
      </c>
      <c r="J39" s="183"/>
      <c r="K39" s="184"/>
      <c r="L39" s="70"/>
    </row>
    <row r="40" spans="1:12" ht="11.25">
      <c r="A40" s="32" t="s">
        <v>13</v>
      </c>
      <c r="B40" s="70">
        <v>3010853</v>
      </c>
      <c r="C40" s="71">
        <v>0.0826</v>
      </c>
      <c r="D40" s="70">
        <v>2978399</v>
      </c>
      <c r="E40" s="71">
        <v>-0.0108</v>
      </c>
      <c r="F40" s="70">
        <v>3081885</v>
      </c>
      <c r="G40" s="71">
        <v>0.0347</v>
      </c>
      <c r="H40" s="70">
        <v>3172178</v>
      </c>
      <c r="I40" s="71">
        <v>0.0293</v>
      </c>
      <c r="J40" s="183"/>
      <c r="K40" s="184"/>
      <c r="L40" s="70"/>
    </row>
    <row r="41" spans="1:12" ht="11.25">
      <c r="A41" s="32" t="s">
        <v>14</v>
      </c>
      <c r="B41" s="70">
        <v>3052855</v>
      </c>
      <c r="C41" s="71">
        <v>0.1071</v>
      </c>
      <c r="D41" s="70">
        <v>2900338</v>
      </c>
      <c r="E41" s="71">
        <v>-0.05</v>
      </c>
      <c r="F41" s="70">
        <v>2914774</v>
      </c>
      <c r="G41" s="71">
        <v>0.005</v>
      </c>
      <c r="H41" s="70">
        <v>3083829</v>
      </c>
      <c r="I41" s="71">
        <v>0.058</v>
      </c>
      <c r="J41" s="183"/>
      <c r="K41" s="184"/>
      <c r="L41" s="70"/>
    </row>
    <row r="42" spans="1:12" ht="11.25">
      <c r="A42" s="32" t="s">
        <v>15</v>
      </c>
      <c r="B42" s="70">
        <v>3277772</v>
      </c>
      <c r="C42" s="71">
        <v>0.0117</v>
      </c>
      <c r="D42" s="70">
        <v>3286345</v>
      </c>
      <c r="E42" s="71">
        <v>0.0026</v>
      </c>
      <c r="F42" s="70">
        <v>3503469</v>
      </c>
      <c r="G42" s="71">
        <v>0.0661</v>
      </c>
      <c r="H42" s="70">
        <v>3475447</v>
      </c>
      <c r="I42" s="71">
        <v>-0.008</v>
      </c>
      <c r="J42" s="183"/>
      <c r="K42" s="184"/>
      <c r="L42" s="70"/>
    </row>
    <row r="43" spans="1:12" ht="11.25">
      <c r="A43" s="32" t="s">
        <v>16</v>
      </c>
      <c r="B43" s="70">
        <v>2957976</v>
      </c>
      <c r="C43" s="71">
        <v>-0.0874</v>
      </c>
      <c r="D43" s="70">
        <v>3038413</v>
      </c>
      <c r="E43" s="71">
        <v>0.0272</v>
      </c>
      <c r="F43" s="70">
        <v>3203218</v>
      </c>
      <c r="G43" s="71">
        <v>0.0542</v>
      </c>
      <c r="H43" s="70">
        <v>3370115</v>
      </c>
      <c r="I43" s="71">
        <v>0.0521</v>
      </c>
      <c r="J43" s="183"/>
      <c r="K43" s="184"/>
      <c r="L43" s="70"/>
    </row>
    <row r="44" spans="1:12" ht="11.25">
      <c r="A44" s="32" t="s">
        <v>17</v>
      </c>
      <c r="B44" s="70">
        <v>3032669</v>
      </c>
      <c r="C44" s="71">
        <v>0.013</v>
      </c>
      <c r="D44" s="70">
        <v>3202904</v>
      </c>
      <c r="E44" s="71">
        <v>0.0561</v>
      </c>
      <c r="F44" s="70">
        <v>4063732</v>
      </c>
      <c r="G44" s="71">
        <v>0.2688</v>
      </c>
      <c r="H44" s="70">
        <f>'Monthly receipts from State'!$F$30</f>
        <v>3360526.880488889</v>
      </c>
      <c r="I44" s="71">
        <f>H44/F44-1</f>
        <v>-0.17304416716237958</v>
      </c>
      <c r="J44" s="183"/>
      <c r="K44" s="184"/>
      <c r="L44" s="70"/>
    </row>
    <row r="45" spans="2:9" ht="11.25">
      <c r="B45" s="72"/>
      <c r="C45" s="70"/>
      <c r="D45" s="72"/>
      <c r="F45" s="72"/>
      <c r="G45" s="70"/>
      <c r="H45" s="72"/>
      <c r="I45" s="70"/>
    </row>
    <row r="46" spans="1:12" ht="12.75">
      <c r="A46" s="35" t="s">
        <v>139</v>
      </c>
      <c r="B46" s="72"/>
      <c r="C46"/>
      <c r="D46" s="72"/>
      <c r="E46"/>
      <c r="F46" s="74">
        <f>SUM(F33:F44)</f>
        <v>39719593</v>
      </c>
      <c r="G46" s="75"/>
      <c r="H46" s="74">
        <f>SUM(H33:H44)</f>
        <v>40011099.88048889</v>
      </c>
      <c r="I46" s="75">
        <f>H46/(SUM(F33:F44))-1</f>
        <v>0.007339120531494103</v>
      </c>
      <c r="L46" s="183"/>
    </row>
    <row r="47" spans="1:11" ht="11.25">
      <c r="A47" s="36" t="s">
        <v>123</v>
      </c>
      <c r="B47" s="72">
        <f>SUM(B33:B46)</f>
        <v>37616443</v>
      </c>
      <c r="C47" s="71">
        <v>0.0228</v>
      </c>
      <c r="D47" s="72">
        <f>SUM(D33:D44)</f>
        <v>38153992</v>
      </c>
      <c r="E47" s="71">
        <v>0.0143</v>
      </c>
      <c r="F47" s="72">
        <f>SUM(F33:F44)</f>
        <v>39719593</v>
      </c>
      <c r="G47" s="71">
        <f>(F47/D47)-1</f>
        <v>0.041033740322637735</v>
      </c>
      <c r="H47" s="72"/>
      <c r="I47" s="71"/>
      <c r="J47" s="72"/>
      <c r="K47" s="183"/>
    </row>
    <row r="48" spans="1:5" ht="11.25">
      <c r="A48" s="67"/>
      <c r="E48" s="4"/>
    </row>
    <row r="49" spans="1:9" ht="11.25">
      <c r="A49" s="67" t="s">
        <v>129</v>
      </c>
      <c r="B49" s="124">
        <v>37345840</v>
      </c>
      <c r="C49" s="71">
        <f>B47/B49</f>
        <v>1.0072458672773192</v>
      </c>
      <c r="D49" s="124">
        <v>36223000</v>
      </c>
      <c r="E49" s="71">
        <f>D47/D49</f>
        <v>1.053308450432046</v>
      </c>
      <c r="F49" s="124">
        <v>40318000</v>
      </c>
      <c r="G49" s="71">
        <f>F47/F49</f>
        <v>0.9851578203283893</v>
      </c>
      <c r="H49" s="124">
        <v>39658892</v>
      </c>
      <c r="I49" s="71">
        <f>H46/H49</f>
        <v>1.0088809309268874</v>
      </c>
    </row>
    <row r="50" spans="1:8" ht="11.25">
      <c r="A50" s="67"/>
      <c r="B50" s="72"/>
      <c r="C50" s="71"/>
      <c r="D50" s="72"/>
      <c r="F50" s="72"/>
      <c r="G50" s="71"/>
      <c r="H50" s="72"/>
    </row>
    <row r="51" spans="1:4" ht="11.25">
      <c r="A51" s="35" t="s">
        <v>174</v>
      </c>
      <c r="B51" s="36"/>
      <c r="C51" s="36"/>
      <c r="D51" s="36"/>
    </row>
    <row r="52" spans="1:9" ht="12.75">
      <c r="A52" s="28" t="s">
        <v>175</v>
      </c>
      <c r="B52" s="6"/>
      <c r="C52" s="6"/>
      <c r="D52" s="6"/>
      <c r="E52" s="23"/>
      <c r="F52" s="5"/>
      <c r="G52" s="5"/>
      <c r="H52" s="5"/>
      <c r="I52" s="5"/>
    </row>
    <row r="53" spans="1:5" ht="12" customHeight="1">
      <c r="A53" s="67"/>
      <c r="D53" s="34"/>
      <c r="E53" s="34"/>
    </row>
    <row r="54" spans="1:3" ht="11.25">
      <c r="A54" s="73" t="s">
        <v>170</v>
      </c>
      <c r="B54" s="36"/>
      <c r="C54" s="36"/>
    </row>
    <row r="55" ht="11.25">
      <c r="A55" s="67"/>
    </row>
    <row r="56" spans="1:9" ht="11.25">
      <c r="A56" s="67"/>
      <c r="B56" s="67"/>
      <c r="C56" s="67" t="s">
        <v>3</v>
      </c>
      <c r="D56" s="67"/>
      <c r="E56" s="67" t="s">
        <v>3</v>
      </c>
      <c r="F56" s="67"/>
      <c r="G56" s="67" t="s">
        <v>3</v>
      </c>
      <c r="H56" s="67"/>
      <c r="I56" s="67" t="s">
        <v>3</v>
      </c>
    </row>
    <row r="57" spans="1:9" ht="11.25">
      <c r="A57" s="67"/>
      <c r="B57" s="67"/>
      <c r="C57" s="67" t="s">
        <v>4</v>
      </c>
      <c r="D57" s="67"/>
      <c r="E57" s="67" t="s">
        <v>4</v>
      </c>
      <c r="F57" s="67"/>
      <c r="G57" s="67" t="s">
        <v>4</v>
      </c>
      <c r="H57" s="67"/>
      <c r="I57" s="67" t="s">
        <v>4</v>
      </c>
    </row>
    <row r="58" spans="1:9" ht="11.25">
      <c r="A58" s="77" t="s">
        <v>5</v>
      </c>
      <c r="B58" s="77" t="s">
        <v>211</v>
      </c>
      <c r="C58" s="77" t="s">
        <v>212</v>
      </c>
      <c r="D58" s="77" t="s">
        <v>216</v>
      </c>
      <c r="E58" s="77" t="s">
        <v>217</v>
      </c>
      <c r="F58" s="77" t="s">
        <v>228</v>
      </c>
      <c r="G58" s="77" t="s">
        <v>229</v>
      </c>
      <c r="H58" s="77" t="s">
        <v>239</v>
      </c>
      <c r="I58" s="77" t="s">
        <v>240</v>
      </c>
    </row>
    <row r="59" spans="1:5" ht="11.25">
      <c r="A59" s="32"/>
      <c r="E59" s="4"/>
    </row>
    <row r="60" spans="1:12" ht="11.25">
      <c r="A60" s="32" t="s">
        <v>6</v>
      </c>
      <c r="B60" s="70">
        <v>3488282</v>
      </c>
      <c r="C60" s="71">
        <v>0.1455</v>
      </c>
      <c r="D60" s="70">
        <v>3412206</v>
      </c>
      <c r="E60" s="71">
        <v>-0.0218</v>
      </c>
      <c r="F60" s="70">
        <v>3598870</v>
      </c>
      <c r="G60" s="71">
        <v>0.0547</v>
      </c>
      <c r="H60" s="70">
        <v>3570092</v>
      </c>
      <c r="I60" s="71">
        <v>-0.008</v>
      </c>
      <c r="J60" s="185"/>
      <c r="K60" s="185"/>
      <c r="L60" s="70"/>
    </row>
    <row r="61" spans="1:12" ht="11.25">
      <c r="A61" s="32" t="s">
        <v>7</v>
      </c>
      <c r="B61" s="70">
        <v>3328898</v>
      </c>
      <c r="C61" s="71">
        <v>0.0362</v>
      </c>
      <c r="D61" s="70">
        <v>3169596</v>
      </c>
      <c r="E61" s="71">
        <v>-0.0479</v>
      </c>
      <c r="F61" s="70">
        <v>3181115</v>
      </c>
      <c r="G61" s="71">
        <v>0.0036</v>
      </c>
      <c r="H61" s="70">
        <v>3320796</v>
      </c>
      <c r="I61" s="71">
        <v>0.0439</v>
      </c>
      <c r="J61" s="185"/>
      <c r="K61" s="185"/>
      <c r="L61" s="70"/>
    </row>
    <row r="62" spans="1:12" ht="11.25">
      <c r="A62" s="32" t="s">
        <v>8</v>
      </c>
      <c r="B62" s="70">
        <v>3103628</v>
      </c>
      <c r="C62" s="71">
        <v>0.0036</v>
      </c>
      <c r="D62" s="70">
        <v>3210706</v>
      </c>
      <c r="E62" s="71">
        <v>0.0345</v>
      </c>
      <c r="F62" s="70">
        <v>3138082</v>
      </c>
      <c r="G62" s="71">
        <v>-0.0226</v>
      </c>
      <c r="H62" s="70">
        <v>3424092</v>
      </c>
      <c r="I62" s="71">
        <v>0.0911</v>
      </c>
      <c r="J62" s="185"/>
      <c r="K62" s="185"/>
      <c r="L62" s="70"/>
    </row>
    <row r="63" spans="1:12" ht="11.25">
      <c r="A63" s="32" t="s">
        <v>9</v>
      </c>
      <c r="B63" s="70">
        <v>3193202</v>
      </c>
      <c r="C63" s="71">
        <v>0.046</v>
      </c>
      <c r="D63" s="70">
        <v>3867750</v>
      </c>
      <c r="E63" s="71">
        <v>0.2112</v>
      </c>
      <c r="F63" s="70">
        <v>3309156</v>
      </c>
      <c r="G63" s="71">
        <v>-0.1444</v>
      </c>
      <c r="H63" s="70">
        <v>3235843</v>
      </c>
      <c r="I63" s="71">
        <v>-0.0222</v>
      </c>
      <c r="J63" s="185"/>
      <c r="K63" s="185"/>
      <c r="L63" s="70"/>
    </row>
    <row r="64" spans="1:12" ht="11.25">
      <c r="A64" s="32" t="s">
        <v>10</v>
      </c>
      <c r="B64" s="70">
        <v>3105951</v>
      </c>
      <c r="C64" s="71">
        <v>-0.018</v>
      </c>
      <c r="D64" s="70">
        <v>2660042</v>
      </c>
      <c r="E64" s="71">
        <v>-0.1436</v>
      </c>
      <c r="F64" s="70">
        <v>3189226</v>
      </c>
      <c r="G64" s="71">
        <v>0.1989</v>
      </c>
      <c r="H64" s="70">
        <v>3381110</v>
      </c>
      <c r="I64" s="71">
        <v>0.0602</v>
      </c>
      <c r="J64" s="185"/>
      <c r="K64" s="185"/>
      <c r="L64" s="70"/>
    </row>
    <row r="65" spans="1:12" ht="11.25">
      <c r="A65" s="32" t="s">
        <v>11</v>
      </c>
      <c r="B65" s="70">
        <v>2951403</v>
      </c>
      <c r="C65" s="71">
        <v>-0.0295</v>
      </c>
      <c r="D65" s="70">
        <v>3077555</v>
      </c>
      <c r="E65" s="71">
        <v>0.0427</v>
      </c>
      <c r="F65" s="70">
        <v>3163092</v>
      </c>
      <c r="G65" s="71">
        <v>0.0278</v>
      </c>
      <c r="H65" s="70">
        <v>3222201</v>
      </c>
      <c r="I65" s="71">
        <v>0.0187</v>
      </c>
      <c r="J65" s="185"/>
      <c r="K65" s="185"/>
      <c r="L65" s="70"/>
    </row>
    <row r="66" spans="1:12" ht="11.25">
      <c r="A66" s="32" t="s">
        <v>12</v>
      </c>
      <c r="B66" s="70">
        <v>3475351</v>
      </c>
      <c r="C66" s="71">
        <v>-0.0091</v>
      </c>
      <c r="D66" s="70">
        <v>3687992</v>
      </c>
      <c r="E66" s="71">
        <v>0.0612</v>
      </c>
      <c r="F66" s="70">
        <v>3654463</v>
      </c>
      <c r="G66" s="71">
        <v>-0.0091</v>
      </c>
      <c r="H66" s="70">
        <v>3706032</v>
      </c>
      <c r="I66" s="71">
        <v>0.0141</v>
      </c>
      <c r="J66" s="185"/>
      <c r="K66" s="185"/>
      <c r="L66" s="70"/>
    </row>
    <row r="67" spans="1:12" ht="11.25">
      <c r="A67" s="32" t="s">
        <v>13</v>
      </c>
      <c r="B67" s="70">
        <v>3044467</v>
      </c>
      <c r="C67" s="71">
        <v>0.0791</v>
      </c>
      <c r="D67" s="70">
        <v>3021818</v>
      </c>
      <c r="E67" s="71">
        <v>-0.0074</v>
      </c>
      <c r="F67" s="70">
        <v>3122406</v>
      </c>
      <c r="G67" s="71">
        <v>0.0333</v>
      </c>
      <c r="H67" s="70">
        <v>3211117</v>
      </c>
      <c r="I67" s="71">
        <v>0.0284</v>
      </c>
      <c r="J67" s="185"/>
      <c r="K67" s="185"/>
      <c r="L67" s="70"/>
    </row>
    <row r="68" spans="1:12" ht="11.25">
      <c r="A68" s="32" t="s">
        <v>14</v>
      </c>
      <c r="B68" s="70">
        <v>3116724</v>
      </c>
      <c r="C68" s="71">
        <v>0.1141</v>
      </c>
      <c r="D68" s="70">
        <v>2941263</v>
      </c>
      <c r="E68" s="71">
        <v>-0.0563</v>
      </c>
      <c r="F68" s="70">
        <v>2951636</v>
      </c>
      <c r="G68" s="71">
        <v>0.0035</v>
      </c>
      <c r="H68" s="70">
        <v>3122093</v>
      </c>
      <c r="I68" s="71">
        <v>0.0578</v>
      </c>
      <c r="J68" s="185"/>
      <c r="K68" s="185"/>
      <c r="L68" s="70"/>
    </row>
    <row r="69" spans="1:12" ht="11.25">
      <c r="A69" s="32" t="s">
        <v>15</v>
      </c>
      <c r="B69" s="70">
        <v>3331428</v>
      </c>
      <c r="C69" s="71">
        <v>0.0056</v>
      </c>
      <c r="D69" s="70">
        <v>3328952</v>
      </c>
      <c r="E69" s="71">
        <v>-0.0007</v>
      </c>
      <c r="F69" s="70">
        <v>3544483</v>
      </c>
      <c r="G69" s="71">
        <v>0.0647</v>
      </c>
      <c r="H69" s="70">
        <v>3516286</v>
      </c>
      <c r="I69" s="71">
        <v>-0.008</v>
      </c>
      <c r="J69" s="185"/>
      <c r="K69" s="185"/>
      <c r="L69" s="70"/>
    </row>
    <row r="70" spans="1:12" ht="11.25">
      <c r="A70" s="32" t="s">
        <v>16</v>
      </c>
      <c r="B70" s="70">
        <v>3006677</v>
      </c>
      <c r="C70" s="71">
        <v>-0.0914</v>
      </c>
      <c r="D70" s="70">
        <v>3097282</v>
      </c>
      <c r="E70" s="71">
        <v>0.0301</v>
      </c>
      <c r="F70" s="70">
        <v>3254501</v>
      </c>
      <c r="G70" s="71">
        <v>0.0508</v>
      </c>
      <c r="H70" s="70">
        <v>3400316</v>
      </c>
      <c r="I70" s="71">
        <v>0.0448</v>
      </c>
      <c r="J70" s="185"/>
      <c r="K70" s="185"/>
      <c r="L70" s="70"/>
    </row>
    <row r="71" spans="1:12" ht="11.25">
      <c r="A71" s="32" t="s">
        <v>17</v>
      </c>
      <c r="B71" s="70">
        <v>3090445</v>
      </c>
      <c r="C71" s="71">
        <v>0.0145</v>
      </c>
      <c r="D71" s="70">
        <v>3245042</v>
      </c>
      <c r="E71" s="71">
        <v>0.05</v>
      </c>
      <c r="F71" s="70">
        <v>4176005</v>
      </c>
      <c r="G71" s="71">
        <v>0.2869</v>
      </c>
      <c r="H71" s="70">
        <f>'Monthly receipts from State'!F$31</f>
        <v>3389969.2004370373</v>
      </c>
      <c r="I71" s="71">
        <f>H71/F71-1</f>
        <v>-0.188226738129615</v>
      </c>
      <c r="J71" s="185"/>
      <c r="K71" s="185"/>
      <c r="L71" s="70"/>
    </row>
    <row r="72" spans="2:4" ht="11.25">
      <c r="B72" s="72"/>
      <c r="C72" s="70"/>
      <c r="D72" s="72"/>
    </row>
    <row r="73" spans="1:12" ht="12.75">
      <c r="A73" s="35" t="s">
        <v>139</v>
      </c>
      <c r="B73" s="72"/>
      <c r="C73"/>
      <c r="D73" s="72"/>
      <c r="E73"/>
      <c r="F73" s="74">
        <f>SUM(F60:F71)</f>
        <v>40283035</v>
      </c>
      <c r="G73" s="75"/>
      <c r="H73" s="74">
        <f>SUM(H60:H71)</f>
        <v>40499947.20043704</v>
      </c>
      <c r="I73" s="75">
        <f>H73/(SUM(F60:F71))-1</f>
        <v>0.0053847035218930195</v>
      </c>
      <c r="L73" s="183"/>
    </row>
    <row r="74" spans="1:11" ht="11.25">
      <c r="A74" s="36" t="s">
        <v>123</v>
      </c>
      <c r="B74" s="72">
        <f>SUM(B60:B73)</f>
        <v>38236456</v>
      </c>
      <c r="C74" s="71">
        <v>0.0223</v>
      </c>
      <c r="D74" s="72">
        <f>SUM(D60:D71)</f>
        <v>38720204</v>
      </c>
      <c r="E74" s="71">
        <f>(D74/B74)-1</f>
        <v>0.012651486319757321</v>
      </c>
      <c r="F74" s="72">
        <f>SUM(F60:F71)</f>
        <v>40283035</v>
      </c>
      <c r="G74" s="71">
        <f>(F74/D74)-1</f>
        <v>0.040362158215901944</v>
      </c>
      <c r="H74" s="72"/>
      <c r="I74" s="71"/>
      <c r="J74" s="183"/>
      <c r="K74" s="183"/>
    </row>
    <row r="75" spans="1:5" ht="11.25">
      <c r="A75" s="67"/>
      <c r="E75" s="4"/>
    </row>
    <row r="76" spans="1:9" ht="11.25">
      <c r="A76" s="67" t="s">
        <v>129</v>
      </c>
      <c r="B76" s="124">
        <v>38108000</v>
      </c>
      <c r="C76" s="71">
        <f>B74/B76</f>
        <v>1.0033708407683426</v>
      </c>
      <c r="D76" s="124">
        <v>39645000</v>
      </c>
      <c r="E76" s="71">
        <f>D74/D76</f>
        <v>0.9766730735275571</v>
      </c>
      <c r="F76" s="124">
        <v>40318000</v>
      </c>
      <c r="G76" s="71">
        <f>F74/F76</f>
        <v>0.9991327694826132</v>
      </c>
      <c r="H76" s="124">
        <v>40222000</v>
      </c>
      <c r="I76" s="71">
        <f>H73/H76</f>
        <v>1.006910327692234</v>
      </c>
    </row>
    <row r="77" ht="11.25"/>
    <row r="78" ht="11.25">
      <c r="A78" s="36" t="s">
        <v>137</v>
      </c>
    </row>
  </sheetData>
  <sheetProtection/>
  <printOptions horizontalCentered="1"/>
  <pageMargins left="0.27" right="0" top="0.38" bottom="0.58" header="0.32" footer="0.27"/>
  <pageSetup fitToHeight="1" fitToWidth="1" horizontalDpi="600" verticalDpi="600" orientation="portrait" scale="84" r:id="rId3"/>
  <headerFooter alignWithMargins="0">
    <oddFooter>&amp;CPage 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Gross Receipts Distribution Report</dc:title>
  <dc:subject/>
  <dc:creator>Treasury Division</dc:creator>
  <cp:keywords/>
  <dc:description/>
  <cp:lastModifiedBy>Boerner, Christine</cp:lastModifiedBy>
  <cp:lastPrinted>2019-06-17T20:30:18Z</cp:lastPrinted>
  <dcterms:created xsi:type="dcterms:W3CDTF">1999-08-02T19:21:08Z</dcterms:created>
  <dcterms:modified xsi:type="dcterms:W3CDTF">2019-08-07T21:14:26Z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